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thaipatt\Desktop\งาน\งานชื่อ\ราคากลาง\โครงการ\ปีงบ 2569\โครงการบ่อดักตะกอน\"/>
    </mc:Choice>
  </mc:AlternateContent>
  <bookViews>
    <workbookView xWindow="0" yWindow="0" windowWidth="28800" windowHeight="12180"/>
  </bookViews>
  <sheets>
    <sheet name="BOQ" sheetId="10" r:id="rId1"/>
    <sheet name="สรุป" sheetId="1" r:id="rId2"/>
    <sheet name="ปร.4(พ)" sheetId="8" r:id="rId3"/>
    <sheet name="เหตุผลฯ" sheetId="9" r:id="rId4"/>
    <sheet name="ราคาต่อหน่วยในงานนี้" sheetId="4" r:id="rId5"/>
    <sheet name="ราคาระยอง 11-68" sheetId="2" r:id="rId6"/>
    <sheet name="ราคาต่อหน่วยชลประทาน" sheetId="3" r:id="rId7"/>
    <sheet name="Factor-F " sheetId="5" r:id="rId8"/>
  </sheets>
  <externalReferences>
    <externalReference r:id="rId9"/>
    <externalReference r:id="rId10"/>
    <externalReference r:id="rId11"/>
    <externalReference r:id="rId12"/>
  </externalReferences>
  <definedNames>
    <definedName name="_ipp18188">[1]แหล่งวัสดุงานเสาเข็ม!$D$16</definedName>
    <definedName name="A" localSheetId="0">#REF!</definedName>
    <definedName name="A" localSheetId="3">#REF!</definedName>
    <definedName name="A" localSheetId="2">#REF!</definedName>
    <definedName name="A">#REF!</definedName>
    <definedName name="Excel_BuiltIn_Print_Area_7" localSheetId="0">#REF!</definedName>
    <definedName name="Excel_BuiltIn_Print_Area_7" localSheetId="3">#REF!</definedName>
    <definedName name="Excel_BuiltIn_Print_Area_7" localSheetId="2">#REF!</definedName>
    <definedName name="Excel_BuiltIn_Print_Area_7">#REF!</definedName>
    <definedName name="Excel_BuiltIn_Print_Titles_10" localSheetId="0">#REF!</definedName>
    <definedName name="Excel_BuiltIn_Print_Titles_10" localSheetId="3">#REF!</definedName>
    <definedName name="Excel_BuiltIn_Print_Titles_10" localSheetId="2">#REF!</definedName>
    <definedName name="Excel_BuiltIn_Print_Titles_10">#REF!</definedName>
    <definedName name="Excel_BuiltIn_Print_Titles_11" localSheetId="0">#REF!</definedName>
    <definedName name="Excel_BuiltIn_Print_Titles_11" localSheetId="3">#REF!</definedName>
    <definedName name="Excel_BuiltIn_Print_Titles_11" localSheetId="2">#REF!</definedName>
    <definedName name="Excel_BuiltIn_Print_Titles_11">#REF!</definedName>
    <definedName name="Excel_BuiltIn_Print_Titles_3" localSheetId="0">#REF!</definedName>
    <definedName name="Excel_BuiltIn_Print_Titles_3" localSheetId="3">#REF!</definedName>
    <definedName name="Excel_BuiltIn_Print_Titles_3" localSheetId="2">#REF!</definedName>
    <definedName name="Excel_BuiltIn_Print_Titles_3">#REF!</definedName>
    <definedName name="Excel_BuiltIn_Print_Titles_3_1" localSheetId="0">#REF!</definedName>
    <definedName name="Excel_BuiltIn_Print_Titles_3_1" localSheetId="3">#REF!</definedName>
    <definedName name="Excel_BuiltIn_Print_Titles_3_1" localSheetId="2">#REF!</definedName>
    <definedName name="Excel_BuiltIn_Print_Titles_3_1">#REF!</definedName>
    <definedName name="Excel_BuiltIn_Print_Titles_3_1_1" localSheetId="0">#REF!</definedName>
    <definedName name="Excel_BuiltIn_Print_Titles_3_1_1" localSheetId="3">#REF!</definedName>
    <definedName name="Excel_BuiltIn_Print_Titles_3_1_1" localSheetId="2">#REF!</definedName>
    <definedName name="Excel_BuiltIn_Print_Titles_3_1_1">#REF!</definedName>
    <definedName name="Excel_BuiltIn_Print_Titles_3_1_1_1" localSheetId="0">#REF!</definedName>
    <definedName name="Excel_BuiltIn_Print_Titles_3_1_1_1" localSheetId="3">#REF!</definedName>
    <definedName name="Excel_BuiltIn_Print_Titles_3_1_1_1" localSheetId="2">#REF!</definedName>
    <definedName name="Excel_BuiltIn_Print_Titles_3_1_1_1">#REF!</definedName>
    <definedName name="Excel_BuiltIn_Print_Titles_5" localSheetId="0">#REF!</definedName>
    <definedName name="Excel_BuiltIn_Print_Titles_5" localSheetId="3">#REF!</definedName>
    <definedName name="Excel_BuiltIn_Print_Titles_5" localSheetId="2">#REF!</definedName>
    <definedName name="Excel_BuiltIn_Print_Titles_5">#REF!</definedName>
    <definedName name="Excel_BuiltIn_Print_Titles_5_1" localSheetId="0">#REF!</definedName>
    <definedName name="Excel_BuiltIn_Print_Titles_5_1" localSheetId="3">#REF!</definedName>
    <definedName name="Excel_BuiltIn_Print_Titles_5_1" localSheetId="2">#REF!</definedName>
    <definedName name="Excel_BuiltIn_Print_Titles_5_1">#REF!</definedName>
    <definedName name="Excel_BuiltIn_Print_Titles_6" localSheetId="0">#REF!</definedName>
    <definedName name="Excel_BuiltIn_Print_Titles_6" localSheetId="3">#REF!</definedName>
    <definedName name="Excel_BuiltIn_Print_Titles_6" localSheetId="2">#REF!</definedName>
    <definedName name="Excel_BuiltIn_Print_Titles_6">#REF!</definedName>
    <definedName name="Excel_BuiltIn_Print_Titles_6_1" localSheetId="0">#REF!</definedName>
    <definedName name="Excel_BuiltIn_Print_Titles_6_1" localSheetId="3">#REF!</definedName>
    <definedName name="Excel_BuiltIn_Print_Titles_6_1" localSheetId="2">#REF!</definedName>
    <definedName name="Excel_BuiltIn_Print_Titles_6_1">#REF!</definedName>
    <definedName name="Excel_BuiltIn_Print_Titles_7" localSheetId="0">#REF!</definedName>
    <definedName name="Excel_BuiltIn_Print_Titles_7" localSheetId="3">#REF!</definedName>
    <definedName name="Excel_BuiltIn_Print_Titles_7" localSheetId="2">#REF!</definedName>
    <definedName name="Excel_BuiltIn_Print_Titles_7">#REF!</definedName>
    <definedName name="Excel_BuiltIn_Print_Titles_7_1" localSheetId="0">#REF!</definedName>
    <definedName name="Excel_BuiltIn_Print_Titles_7_1" localSheetId="3">#REF!</definedName>
    <definedName name="Excel_BuiltIn_Print_Titles_7_1" localSheetId="2">#REF!</definedName>
    <definedName name="Excel_BuiltIn_Print_Titles_7_1">#REF!</definedName>
    <definedName name="Excel_BuiltIn_Print_Titles_8" localSheetId="0">#REF!</definedName>
    <definedName name="Excel_BuiltIn_Print_Titles_8" localSheetId="3">#REF!</definedName>
    <definedName name="Excel_BuiltIn_Print_Titles_8" localSheetId="2">#REF!</definedName>
    <definedName name="Excel_BuiltIn_Print_Titles_8">#REF!</definedName>
    <definedName name="Excel_BuiltIn_Print_Titles_9" localSheetId="0">'[2]ปรับอากาศ(งานตกแต่งภายใน)'!#REF!</definedName>
    <definedName name="Excel_BuiltIn_Print_Titles_9" localSheetId="3">'[2]ปรับอากาศ(งานตกแต่งภายใน)'!#REF!</definedName>
    <definedName name="Excel_BuiltIn_Print_Titles_9" localSheetId="2">'[2]ปรับอากาศ(งานตกแต่งภายใน)'!#REF!</definedName>
    <definedName name="Excel_BuiltIn_Print_Titles_9">'[2]ปรับอากาศ(งานตกแต่งภายใน)'!#REF!</definedName>
    <definedName name="I" localSheetId="0">#REF!</definedName>
    <definedName name="I" localSheetId="3">#REF!</definedName>
    <definedName name="I" localSheetId="2">#REF!</definedName>
    <definedName name="I">#REF!</definedName>
    <definedName name="ipp18188t">[1]แหล่งวัสดุงานเสาเข็ม!$E$16</definedName>
    <definedName name="ipp1818c">[1]แหล่งวัสดุงานเสาเข็ม!$F$16</definedName>
    <definedName name="IX" localSheetId="0">#REF!</definedName>
    <definedName name="IX" localSheetId="3">#REF!</definedName>
    <definedName name="IX" localSheetId="2">#REF!</definedName>
    <definedName name="IX">#REF!</definedName>
    <definedName name="IY" localSheetId="0">#REF!</definedName>
    <definedName name="IY" localSheetId="3">#REF!</definedName>
    <definedName name="IY" localSheetId="2">#REF!</definedName>
    <definedName name="IY">#REF!</definedName>
    <definedName name="L1_" localSheetId="0">#REF!</definedName>
    <definedName name="L1_" localSheetId="3">#REF!</definedName>
    <definedName name="L1_" localSheetId="2">#REF!</definedName>
    <definedName name="L1_">#REF!</definedName>
    <definedName name="L2_" localSheetId="0">#REF!</definedName>
    <definedName name="L2_" localSheetId="3">#REF!</definedName>
    <definedName name="L2_" localSheetId="2">#REF!</definedName>
    <definedName name="L2_">#REF!</definedName>
    <definedName name="L2_1" localSheetId="0">#REF!</definedName>
    <definedName name="L2_1" localSheetId="3">#REF!</definedName>
    <definedName name="L2_1" localSheetId="2">#REF!</definedName>
    <definedName name="L2_1">#REF!</definedName>
    <definedName name="pod">[1]แหล่งวัสดุงานเสาเข็ม!$D$9</definedName>
    <definedName name="_xlnm.Print_Area" localSheetId="0">BOQ!$A$1:$J$53</definedName>
    <definedName name="_xlnm.Print_Area" localSheetId="2">'ปร.4(พ)'!$A$1:$I$20</definedName>
    <definedName name="_xlnm.Print_Area" localSheetId="1">สรุป!$A$1:$J$68</definedName>
    <definedName name="_xlnm.Print_Titles" localSheetId="2">'ปร.4(พ)'!$1:$8</definedName>
    <definedName name="s" localSheetId="0">#REF!</definedName>
    <definedName name="s" localSheetId="3">#REF!</definedName>
    <definedName name="s" localSheetId="2">#REF!</definedName>
    <definedName name="s">#REF!</definedName>
    <definedName name="sd30db12" localSheetId="0">#REF!</definedName>
    <definedName name="sd30db12" localSheetId="7">#REF!</definedName>
    <definedName name="sd30db12" localSheetId="3">#REF!</definedName>
    <definedName name="sd30db12" localSheetId="2">#REF!</definedName>
    <definedName name="sd30db12">#REF!</definedName>
    <definedName name="sd30db16" localSheetId="0">#REF!</definedName>
    <definedName name="sd30db16" localSheetId="7">#REF!</definedName>
    <definedName name="sd30db16" localSheetId="3">#REF!</definedName>
    <definedName name="sd30db16" localSheetId="2">#REF!</definedName>
    <definedName name="sd30db16">#REF!</definedName>
    <definedName name="sd30db20" localSheetId="0">#REF!</definedName>
    <definedName name="sd30db20" localSheetId="7">#REF!</definedName>
    <definedName name="sd30db20" localSheetId="3">#REF!</definedName>
    <definedName name="sd30db20" localSheetId="2">#REF!</definedName>
    <definedName name="sd30db20">#REF!</definedName>
    <definedName name="sd30db25" localSheetId="0">#REF!</definedName>
    <definedName name="sd30db25" localSheetId="7">#REF!</definedName>
    <definedName name="sd30db25" localSheetId="3">#REF!</definedName>
    <definedName name="sd30db25" localSheetId="2">#REF!</definedName>
    <definedName name="sd30db25">#REF!</definedName>
    <definedName name="sd40db12" localSheetId="0">#REF!</definedName>
    <definedName name="sd40db12" localSheetId="7">#REF!</definedName>
    <definedName name="sd40db12" localSheetId="3">#REF!</definedName>
    <definedName name="sd40db12" localSheetId="2">#REF!</definedName>
    <definedName name="sd40db12">#REF!</definedName>
    <definedName name="sd40db16" localSheetId="0">#REF!</definedName>
    <definedName name="sd40db16" localSheetId="7">#REF!</definedName>
    <definedName name="sd40db16" localSheetId="3">#REF!</definedName>
    <definedName name="sd40db16" localSheetId="2">#REF!</definedName>
    <definedName name="sd40db16">#REF!</definedName>
    <definedName name="sd40db20" localSheetId="0">#REF!</definedName>
    <definedName name="sd40db20" localSheetId="7">#REF!</definedName>
    <definedName name="sd40db20" localSheetId="3">#REF!</definedName>
    <definedName name="sd40db20" localSheetId="2">#REF!</definedName>
    <definedName name="sd40db20">#REF!</definedName>
    <definedName name="sd40db25" localSheetId="0">#REF!</definedName>
    <definedName name="sd40db25" localSheetId="7">#REF!</definedName>
    <definedName name="sd40db25" localSheetId="3">#REF!</definedName>
    <definedName name="sd40db25" localSheetId="2">#REF!</definedName>
    <definedName name="sd40db25">#REF!</definedName>
    <definedName name="sp0.250.514">[1]แหล่งวัสดุงานเสาเข็ม!$D$5</definedName>
    <definedName name="sp0.250.514c">[1]แหล่งวัสดุงานเสาเข็ม!$F$5</definedName>
    <definedName name="sp0.250.514t">[1]แหล่งวัสดุงานเสาเข็ม!$E$5</definedName>
    <definedName name="sp0300516c">[1]แหล่งวัสดุงานเสาเข็ม!$F$9</definedName>
    <definedName name="sp0300516t">[1]แหล่งวัสดุงานเสาเข็ม!$E$9</definedName>
    <definedName name="sr24rb6" localSheetId="0">#REF!</definedName>
    <definedName name="sr24rb6" localSheetId="7">#REF!</definedName>
    <definedName name="sr24rb6" localSheetId="3">#REF!</definedName>
    <definedName name="sr24rb6" localSheetId="2">#REF!</definedName>
    <definedName name="sr24rb6">#REF!</definedName>
    <definedName name="sr24rb9" localSheetId="0">#REF!</definedName>
    <definedName name="sr24rb9" localSheetId="7">#REF!</definedName>
    <definedName name="sr24rb9" localSheetId="3">#REF!</definedName>
    <definedName name="sr24rb9" localSheetId="2">#REF!</definedName>
    <definedName name="sr24rb9">#REF!</definedName>
    <definedName name="ssp">[1]แหล่งวัสดุงานเสาเข็ม!$D$11</definedName>
    <definedName name="sspt">[1]แหล่งวัสดุงานเสาเข็ม!$E$11</definedName>
    <definedName name="y" localSheetId="0">#REF!</definedName>
    <definedName name="y" localSheetId="3">#REF!</definedName>
    <definedName name="y" localSheetId="2">#REF!</definedName>
    <definedName name="y">#REF!</definedName>
    <definedName name="เสาธง" localSheetId="0">#REF!</definedName>
    <definedName name="เสาธง" localSheetId="3">#REF!</definedName>
    <definedName name="เสาธง" localSheetId="2">#REF!</definedName>
    <definedName name="เสาธง">#REF!</definedName>
    <definedName name="ไม้กระบาก">[1]แหล่งวัสดุ!$J$84</definedName>
    <definedName name="ไม้คร่าว">[1]แหล่งวัสดุ!$J$82</definedName>
    <definedName name="ไม้คิ้ว">[1]แหล่งวัสดุ!$J$81</definedName>
    <definedName name="ค1" localSheetId="0">#REF!</definedName>
    <definedName name="ค1" localSheetId="7">#REF!</definedName>
    <definedName name="ค1" localSheetId="3">#REF!</definedName>
    <definedName name="ค1" localSheetId="2">#REF!</definedName>
    <definedName name="ค1">#REF!</definedName>
    <definedName name="ค2" localSheetId="0">#REF!</definedName>
    <definedName name="ค2" localSheetId="7">#REF!</definedName>
    <definedName name="ค2" localSheetId="3">#REF!</definedName>
    <definedName name="ค2" localSheetId="2">#REF!</definedName>
    <definedName name="ค2">#REF!</definedName>
    <definedName name="ค3" localSheetId="0">#REF!</definedName>
    <definedName name="ค3" localSheetId="7">#REF!</definedName>
    <definedName name="ค3" localSheetId="3">#REF!</definedName>
    <definedName name="ค3" localSheetId="2">#REF!</definedName>
    <definedName name="ค3">#REF!</definedName>
    <definedName name="ค4" localSheetId="0">#REF!</definedName>
    <definedName name="ค4" localSheetId="7">#REF!</definedName>
    <definedName name="ค4" localSheetId="3">#REF!</definedName>
    <definedName name="ค4" localSheetId="2">#REF!</definedName>
    <definedName name="ค4">#REF!</definedName>
    <definedName name="ตะปู">[1]แหล่งวัสดุ!$J$91</definedName>
    <definedName name="มบ1" localSheetId="0">#REF!</definedName>
    <definedName name="มบ1" localSheetId="7">#REF!</definedName>
    <definedName name="มบ1" localSheetId="3">#REF!</definedName>
    <definedName name="มบ1" localSheetId="2">#REF!</definedName>
    <definedName name="มบ1">#REF!</definedName>
    <definedName name="มบ2" localSheetId="0">#REF!</definedName>
    <definedName name="มบ2" localSheetId="7">#REF!</definedName>
    <definedName name="มบ2" localSheetId="3">#REF!</definedName>
    <definedName name="มบ2" localSheetId="2">#REF!</definedName>
    <definedName name="มบ2">#REF!</definedName>
    <definedName name="มบ3" localSheetId="0">#REF!</definedName>
    <definedName name="มบ3" localSheetId="7">#REF!</definedName>
    <definedName name="มบ3" localSheetId="3">#REF!</definedName>
    <definedName name="มบ3" localSheetId="2">#REF!</definedName>
    <definedName name="มบ3">#REF!</definedName>
    <definedName name="ระยะทาง">[1]INPUT!$F$26</definedName>
    <definedName name="ลวดผูกเหล็ก">[1]แหล่งวัสดุ!$J$53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5" i="10" l="1"/>
  <c r="N35" i="10"/>
  <c r="I12" i="10"/>
  <c r="I11" i="10"/>
  <c r="B11" i="10"/>
  <c r="I10" i="10"/>
  <c r="B10" i="10"/>
  <c r="I9" i="10"/>
  <c r="B9" i="10"/>
  <c r="I13" i="10" l="1"/>
  <c r="F55" i="10" l="1"/>
  <c r="D12" i="5" l="1"/>
  <c r="F20" i="9" l="1"/>
  <c r="G9" i="8"/>
  <c r="D17" i="5" l="1"/>
  <c r="F67" i="1"/>
  <c r="F68" i="1"/>
  <c r="F32" i="9"/>
  <c r="I9" i="1" l="1"/>
  <c r="F65" i="9"/>
  <c r="F64" i="9"/>
  <c r="F30" i="9"/>
  <c r="F118" i="9"/>
  <c r="F108" i="9"/>
  <c r="B9" i="8"/>
  <c r="F74" i="9" l="1"/>
  <c r="F75" i="9" s="1"/>
  <c r="F76" i="9" s="1"/>
  <c r="F31" i="9"/>
  <c r="F119" i="9"/>
  <c r="F120" i="9" s="1"/>
  <c r="G17" i="8" l="1"/>
  <c r="G18" i="8"/>
  <c r="F9" i="1"/>
  <c r="F10" i="1" s="1"/>
  <c r="H9" i="1" l="1"/>
  <c r="H10" i="1" s="1"/>
  <c r="B8" i="1" l="1"/>
  <c r="B7" i="1"/>
  <c r="B6" i="1"/>
  <c r="I8" i="1"/>
  <c r="I7" i="1"/>
  <c r="I6" i="1"/>
  <c r="F34" i="1"/>
  <c r="F35" i="1" s="1"/>
  <c r="E38" i="1"/>
  <c r="F38" i="1" s="1"/>
  <c r="E39" i="1"/>
  <c r="F39" i="1" s="1"/>
  <c r="E42" i="1"/>
  <c r="F42" i="1" s="1"/>
  <c r="E43" i="1"/>
  <c r="F43" i="1" s="1"/>
  <c r="E44" i="1"/>
  <c r="F44" i="1" s="1"/>
  <c r="E45" i="1"/>
  <c r="F45" i="1" s="1"/>
  <c r="F65" i="1"/>
  <c r="F66" i="1"/>
  <c r="F40" i="1" l="1"/>
  <c r="F7" i="1" s="1"/>
  <c r="F6" i="1"/>
  <c r="I10" i="1"/>
  <c r="K74" i="4" l="1"/>
  <c r="E64" i="1"/>
  <c r="F64" i="1" l="1"/>
  <c r="D61" i="1"/>
  <c r="D55" i="1"/>
  <c r="D49" i="1"/>
  <c r="D50" i="1"/>
  <c r="F71" i="4"/>
  <c r="G39" i="2"/>
  <c r="G38" i="2"/>
  <c r="G37" i="2"/>
  <c r="G36" i="2"/>
  <c r="T69" i="4"/>
  <c r="V67" i="4" s="1"/>
  <c r="T74" i="4"/>
  <c r="T73" i="4"/>
  <c r="V68" i="4"/>
  <c r="X67" i="4"/>
  <c r="F67" i="4"/>
  <c r="F66" i="4"/>
  <c r="F65" i="4"/>
  <c r="K65" i="4" s="1"/>
  <c r="K60" i="4"/>
  <c r="K61" i="4" s="1"/>
  <c r="K62" i="4" s="1"/>
  <c r="T57" i="4"/>
  <c r="R57" i="4"/>
  <c r="K57" i="4"/>
  <c r="T56" i="4"/>
  <c r="K56" i="4"/>
  <c r="F56" i="4"/>
  <c r="T55" i="4"/>
  <c r="D71" i="4" s="1"/>
  <c r="K55" i="4"/>
  <c r="G26" i="2"/>
  <c r="G28" i="2"/>
  <c r="S46" i="4"/>
  <c r="T46" i="4" s="1"/>
  <c r="U46" i="4" s="1"/>
  <c r="L48" i="4"/>
  <c r="L47" i="4"/>
  <c r="K71" i="4" l="1"/>
  <c r="K64" i="4"/>
  <c r="K68" i="4" s="1"/>
  <c r="K58" i="4"/>
  <c r="K59" i="4" s="1"/>
  <c r="K70" i="4" s="1"/>
  <c r="K66" i="4"/>
  <c r="V69" i="4"/>
  <c r="K67" i="4"/>
  <c r="L46" i="4"/>
  <c r="L50" i="4" s="1"/>
  <c r="E47" i="1" s="1"/>
  <c r="F47" i="1" l="1"/>
  <c r="C72" i="4"/>
  <c r="K72" i="4" s="1"/>
  <c r="K73" i="4" s="1"/>
  <c r="L49" i="4"/>
  <c r="D74" i="4" l="1"/>
  <c r="S38" i="4"/>
  <c r="T38" i="4" s="1"/>
  <c r="U38" i="4" l="1"/>
  <c r="L38" i="4"/>
  <c r="R40" i="4"/>
  <c r="L40" i="4" s="1"/>
  <c r="R39" i="4"/>
  <c r="L39" i="4" s="1"/>
  <c r="R9" i="4"/>
  <c r="V9" i="4" s="1"/>
  <c r="K9" i="4" s="1"/>
  <c r="R8" i="4"/>
  <c r="V8" i="4" s="1"/>
  <c r="K8" i="4" s="1"/>
  <c r="E26" i="4"/>
  <c r="G26" i="4" s="1"/>
  <c r="E25" i="4"/>
  <c r="G25" i="4" s="1"/>
  <c r="E24" i="4"/>
  <c r="G24" i="4" s="1"/>
  <c r="E23" i="4"/>
  <c r="G23" i="4" s="1"/>
  <c r="E22" i="4"/>
  <c r="G22" i="4" s="1"/>
  <c r="E21" i="4"/>
  <c r="G21" i="4" s="1"/>
  <c r="K29" i="4"/>
  <c r="K3" i="4"/>
  <c r="K781" i="3"/>
  <c r="K764" i="3"/>
  <c r="T761" i="3"/>
  <c r="J760" i="3"/>
  <c r="J762" i="3" s="1"/>
  <c r="E763" i="3" s="1"/>
  <c r="K763" i="3" s="1"/>
  <c r="K757" i="3"/>
  <c r="T754" i="3"/>
  <c r="K750" i="3"/>
  <c r="T747" i="3"/>
  <c r="J746" i="3"/>
  <c r="J753" i="3" s="1"/>
  <c r="J755" i="3" s="1"/>
  <c r="E756" i="3" s="1"/>
  <c r="K756" i="3" s="1"/>
  <c r="K743" i="3"/>
  <c r="T740" i="3"/>
  <c r="J739" i="3"/>
  <c r="J741" i="3" s="1"/>
  <c r="E742" i="3" s="1"/>
  <c r="K742" i="3" s="1"/>
  <c r="E728" i="3"/>
  <c r="E727" i="3"/>
  <c r="J726" i="3"/>
  <c r="M726" i="3" s="1"/>
  <c r="J725" i="3"/>
  <c r="M725" i="3" s="1"/>
  <c r="W724" i="3"/>
  <c r="C723" i="3"/>
  <c r="F717" i="3"/>
  <c r="F715" i="3"/>
  <c r="K714" i="3"/>
  <c r="K715" i="3" s="1"/>
  <c r="V705" i="3"/>
  <c r="V706" i="3" s="1"/>
  <c r="X704" i="3"/>
  <c r="V704" i="3"/>
  <c r="F704" i="3"/>
  <c r="F703" i="3"/>
  <c r="F702" i="3"/>
  <c r="F701" i="3"/>
  <c r="K697" i="3"/>
  <c r="K698" i="3" s="1"/>
  <c r="T694" i="3"/>
  <c r="R694" i="3"/>
  <c r="K694" i="3" s="1"/>
  <c r="T693" i="3"/>
  <c r="F693" i="3"/>
  <c r="D708" i="3" s="1"/>
  <c r="K708" i="3" s="1"/>
  <c r="T692" i="3"/>
  <c r="K692" i="3"/>
  <c r="K687" i="3"/>
  <c r="Q676" i="3"/>
  <c r="K676" i="3" s="1"/>
  <c r="Q675" i="3"/>
  <c r="K675" i="3" s="1"/>
  <c r="K674" i="3"/>
  <c r="Q670" i="3"/>
  <c r="K670" i="3" s="1"/>
  <c r="Q669" i="3"/>
  <c r="K669" i="3" s="1"/>
  <c r="K668" i="3"/>
  <c r="Q664" i="3"/>
  <c r="K664" i="3" s="1"/>
  <c r="Q663" i="3"/>
  <c r="K663" i="3" s="1"/>
  <c r="K662" i="3"/>
  <c r="K666" i="3" s="1"/>
  <c r="Q658" i="3"/>
  <c r="K658" i="3" s="1"/>
  <c r="Q657" i="3"/>
  <c r="K657" i="3" s="1"/>
  <c r="K656" i="3"/>
  <c r="Q652" i="3"/>
  <c r="K652" i="3" s="1"/>
  <c r="Q651" i="3"/>
  <c r="K651" i="3" s="1"/>
  <c r="K650" i="3"/>
  <c r="Q646" i="3"/>
  <c r="K646" i="3" s="1"/>
  <c r="Q645" i="3"/>
  <c r="K645" i="3" s="1"/>
  <c r="K644" i="3"/>
  <c r="Q640" i="3"/>
  <c r="K640" i="3" s="1"/>
  <c r="Q639" i="3"/>
  <c r="K639" i="3" s="1"/>
  <c r="K638" i="3"/>
  <c r="Q634" i="3"/>
  <c r="K634" i="3" s="1"/>
  <c r="Q633" i="3"/>
  <c r="K633" i="3" s="1"/>
  <c r="Q628" i="3"/>
  <c r="K628" i="3" s="1"/>
  <c r="Q627" i="3"/>
  <c r="K627" i="3" s="1"/>
  <c r="K626" i="3"/>
  <c r="Q622" i="3"/>
  <c r="K622" i="3" s="1"/>
  <c r="Q621" i="3"/>
  <c r="K621" i="3" s="1"/>
  <c r="K620" i="3"/>
  <c r="Q616" i="3"/>
  <c r="K616" i="3" s="1"/>
  <c r="Q615" i="3"/>
  <c r="K615" i="3" s="1"/>
  <c r="K614" i="3"/>
  <c r="Q610" i="3"/>
  <c r="K610" i="3" s="1"/>
  <c r="Q609" i="3"/>
  <c r="K609" i="3" s="1"/>
  <c r="K608" i="3"/>
  <c r="J598" i="3"/>
  <c r="J587" i="3"/>
  <c r="J586" i="3"/>
  <c r="J585" i="3"/>
  <c r="J584" i="3"/>
  <c r="J583" i="3"/>
  <c r="J582" i="3"/>
  <c r="J581" i="3"/>
  <c r="O578" i="3"/>
  <c r="O580" i="3" s="1"/>
  <c r="J576" i="3"/>
  <c r="K488" i="3" s="1"/>
  <c r="K514" i="3"/>
  <c r="K515" i="3" s="1"/>
  <c r="K516" i="3" s="1"/>
  <c r="K477" i="3"/>
  <c r="F478" i="3" s="1"/>
  <c r="K478" i="3" s="1"/>
  <c r="K479" i="3" s="1"/>
  <c r="F474" i="3"/>
  <c r="K474" i="3" s="1"/>
  <c r="K475" i="3" s="1"/>
  <c r="K473" i="3"/>
  <c r="K469" i="3"/>
  <c r="F470" i="3" s="1"/>
  <c r="K470" i="3" s="1"/>
  <c r="K471" i="3" s="1"/>
  <c r="K465" i="3"/>
  <c r="F466" i="3" s="1"/>
  <c r="K466" i="3" s="1"/>
  <c r="K467" i="3" s="1"/>
  <c r="K461" i="3"/>
  <c r="F462" i="3" s="1"/>
  <c r="K462" i="3" s="1"/>
  <c r="K463" i="3" s="1"/>
  <c r="K457" i="3"/>
  <c r="F458" i="3" s="1"/>
  <c r="K458" i="3" s="1"/>
  <c r="K459" i="3" s="1"/>
  <c r="K453" i="3"/>
  <c r="F454" i="3" s="1"/>
  <c r="K454" i="3" s="1"/>
  <c r="K455" i="3" s="1"/>
  <c r="K449" i="3"/>
  <c r="F450" i="3" s="1"/>
  <c r="K450" i="3" s="1"/>
  <c r="K451" i="3" s="1"/>
  <c r="K445" i="3"/>
  <c r="F446" i="3" s="1"/>
  <c r="K446" i="3" s="1"/>
  <c r="K447" i="3" s="1"/>
  <c r="K441" i="3"/>
  <c r="F442" i="3" s="1"/>
  <c r="K442" i="3" s="1"/>
  <c r="K443" i="3" s="1"/>
  <c r="K437" i="3"/>
  <c r="F438" i="3" s="1"/>
  <c r="K438" i="3" s="1"/>
  <c r="K439" i="3" s="1"/>
  <c r="K433" i="3"/>
  <c r="F434" i="3" s="1"/>
  <c r="K434" i="3" s="1"/>
  <c r="K435" i="3" s="1"/>
  <c r="K429" i="3"/>
  <c r="F430" i="3" s="1"/>
  <c r="K430" i="3" s="1"/>
  <c r="K431" i="3" s="1"/>
  <c r="K425" i="3"/>
  <c r="F426" i="3" s="1"/>
  <c r="K426" i="3" s="1"/>
  <c r="K427" i="3" s="1"/>
  <c r="K421" i="3"/>
  <c r="F422" i="3" s="1"/>
  <c r="K422" i="3" s="1"/>
  <c r="K423" i="3" s="1"/>
  <c r="K417" i="3"/>
  <c r="F418" i="3" s="1"/>
  <c r="K418" i="3" s="1"/>
  <c r="K419" i="3" s="1"/>
  <c r="K413" i="3"/>
  <c r="F414" i="3" s="1"/>
  <c r="K414" i="3" s="1"/>
  <c r="K415" i="3" s="1"/>
  <c r="K409" i="3"/>
  <c r="F410" i="3" s="1"/>
  <c r="K410" i="3" s="1"/>
  <c r="K411" i="3" s="1"/>
  <c r="K405" i="3"/>
  <c r="F406" i="3" s="1"/>
  <c r="K406" i="3" s="1"/>
  <c r="K407" i="3" s="1"/>
  <c r="K401" i="3"/>
  <c r="F402" i="3" s="1"/>
  <c r="K402" i="3" s="1"/>
  <c r="K403" i="3" s="1"/>
  <c r="K397" i="3"/>
  <c r="F398" i="3" s="1"/>
  <c r="K398" i="3" s="1"/>
  <c r="K399" i="3" s="1"/>
  <c r="K393" i="3"/>
  <c r="F394" i="3" s="1"/>
  <c r="K394" i="3" s="1"/>
  <c r="K395" i="3" s="1"/>
  <c r="K389" i="3"/>
  <c r="F390" i="3" s="1"/>
  <c r="K390" i="3" s="1"/>
  <c r="K391" i="3" s="1"/>
  <c r="K347" i="3"/>
  <c r="T344" i="3"/>
  <c r="J344" i="3" s="1"/>
  <c r="J343" i="3"/>
  <c r="K342" i="3"/>
  <c r="G341" i="3"/>
  <c r="J340" i="3"/>
  <c r="E341" i="3" s="1"/>
  <c r="K341" i="3" s="1"/>
  <c r="G339" i="3"/>
  <c r="J338" i="3"/>
  <c r="E339" i="3" s="1"/>
  <c r="K339" i="3" s="1"/>
  <c r="K334" i="3"/>
  <c r="K336" i="3" s="1"/>
  <c r="K330" i="3"/>
  <c r="K332" i="3" s="1"/>
  <c r="K326" i="3"/>
  <c r="K328" i="3" s="1"/>
  <c r="K322" i="3"/>
  <c r="K324" i="3" s="1"/>
  <c r="K318" i="3"/>
  <c r="K320" i="3" s="1"/>
  <c r="R307" i="3"/>
  <c r="R306" i="3"/>
  <c r="R305" i="3"/>
  <c r="K302" i="3"/>
  <c r="R288" i="3"/>
  <c r="R287" i="3"/>
  <c r="R286" i="3"/>
  <c r="K286" i="3"/>
  <c r="J283" i="3"/>
  <c r="K285" i="3" s="1"/>
  <c r="K279" i="3"/>
  <c r="K277" i="3"/>
  <c r="K270" i="3"/>
  <c r="K267" i="3"/>
  <c r="K242" i="3"/>
  <c r="K241" i="3"/>
  <c r="R239" i="3"/>
  <c r="K240" i="3" s="1"/>
  <c r="K236" i="3"/>
  <c r="K226" i="3"/>
  <c r="K291" i="3" s="1"/>
  <c r="K308" i="3" s="1"/>
  <c r="K225" i="3"/>
  <c r="R223" i="3"/>
  <c r="K224" i="3" s="1"/>
  <c r="K220" i="3"/>
  <c r="K216" i="3"/>
  <c r="G215" i="3"/>
  <c r="T213" i="3"/>
  <c r="K213" i="3" s="1"/>
  <c r="J212" i="3"/>
  <c r="K208" i="3"/>
  <c r="J211" i="3" s="1"/>
  <c r="K199" i="3"/>
  <c r="G198" i="3"/>
  <c r="T194" i="3"/>
  <c r="K194" i="3" s="1"/>
  <c r="K193" i="3"/>
  <c r="K192" i="3"/>
  <c r="T182" i="3"/>
  <c r="K182" i="3" s="1"/>
  <c r="K174" i="3"/>
  <c r="G173" i="3"/>
  <c r="T169" i="3"/>
  <c r="K169" i="3" s="1"/>
  <c r="K168" i="3"/>
  <c r="K167" i="3"/>
  <c r="T157" i="3"/>
  <c r="K157" i="3" s="1"/>
  <c r="K149" i="3"/>
  <c r="G148" i="3"/>
  <c r="T144" i="3"/>
  <c r="K144" i="3" s="1"/>
  <c r="K143" i="3"/>
  <c r="K142" i="3"/>
  <c r="K139" i="3"/>
  <c r="T132" i="3"/>
  <c r="K132" i="3" s="1"/>
  <c r="K124" i="3"/>
  <c r="G123" i="3"/>
  <c r="T119" i="3"/>
  <c r="K119" i="3" s="1"/>
  <c r="K117" i="3"/>
  <c r="K116" i="3"/>
  <c r="K115" i="3"/>
  <c r="K112" i="3"/>
  <c r="J110" i="3"/>
  <c r="K189" i="3" s="1"/>
  <c r="T105" i="3"/>
  <c r="K104" i="3"/>
  <c r="K106" i="3" s="1"/>
  <c r="K98" i="3"/>
  <c r="K99" i="3" s="1"/>
  <c r="K92" i="3"/>
  <c r="K93" i="3" s="1"/>
  <c r="G88" i="3"/>
  <c r="T86" i="3"/>
  <c r="J85" i="3"/>
  <c r="J87" i="3" s="1"/>
  <c r="E88" i="3" s="1"/>
  <c r="K88" i="3" s="1"/>
  <c r="K84" i="3"/>
  <c r="G81" i="3"/>
  <c r="T79" i="3"/>
  <c r="J78" i="3"/>
  <c r="J80" i="3" s="1"/>
  <c r="E81" i="3" s="1"/>
  <c r="K81" i="3" s="1"/>
  <c r="K77" i="3"/>
  <c r="G74" i="3"/>
  <c r="T72" i="3"/>
  <c r="J71" i="3"/>
  <c r="J73" i="3" s="1"/>
  <c r="E74" i="3" s="1"/>
  <c r="K74" i="3" s="1"/>
  <c r="K70" i="3"/>
  <c r="G67" i="3"/>
  <c r="T65" i="3"/>
  <c r="J64" i="3"/>
  <c r="J66" i="3" s="1"/>
  <c r="E67" i="3" s="1"/>
  <c r="K63" i="3"/>
  <c r="G60" i="3"/>
  <c r="T58" i="3"/>
  <c r="J57" i="3"/>
  <c r="J59" i="3" s="1"/>
  <c r="E60" i="3" s="1"/>
  <c r="K56" i="3"/>
  <c r="G53" i="3"/>
  <c r="J52" i="3"/>
  <c r="E53" i="3" s="1"/>
  <c r="T51" i="3"/>
  <c r="J50" i="3"/>
  <c r="K49" i="3"/>
  <c r="K45" i="3"/>
  <c r="K46" i="3" s="1"/>
  <c r="K42" i="3"/>
  <c r="K43" i="3" s="1"/>
  <c r="K39" i="3"/>
  <c r="K40" i="3" s="1"/>
  <c r="G35" i="3"/>
  <c r="T33" i="3"/>
  <c r="J32" i="3"/>
  <c r="J34" i="3" s="1"/>
  <c r="E35" i="3" s="1"/>
  <c r="K31" i="3"/>
  <c r="G28" i="3"/>
  <c r="K28" i="3" s="1"/>
  <c r="E28" i="3"/>
  <c r="T27" i="3"/>
  <c r="K26" i="3"/>
  <c r="K22" i="3"/>
  <c r="K23" i="3" s="1"/>
  <c r="G18" i="3"/>
  <c r="T16" i="3"/>
  <c r="J15" i="3"/>
  <c r="J17" i="3" s="1"/>
  <c r="E18" i="3" s="1"/>
  <c r="K14" i="3"/>
  <c r="K10" i="3"/>
  <c r="K11" i="3" s="1"/>
  <c r="K7" i="3"/>
  <c r="K8" i="3" s="1"/>
  <c r="E63" i="1"/>
  <c r="D60" i="1"/>
  <c r="E57" i="1"/>
  <c r="E51" i="1"/>
  <c r="O50" i="1"/>
  <c r="R5" i="4" s="1"/>
  <c r="E48" i="1"/>
  <c r="K624" i="3" l="1"/>
  <c r="K75" i="3"/>
  <c r="K29" i="3"/>
  <c r="K636" i="3"/>
  <c r="K18" i="3"/>
  <c r="K19" i="3" s="1"/>
  <c r="K82" i="3"/>
  <c r="K243" i="3"/>
  <c r="K245" i="3" s="1"/>
  <c r="K247" i="3" s="1"/>
  <c r="K248" i="3" s="1"/>
  <c r="K678" i="3"/>
  <c r="J748" i="3"/>
  <c r="E749" i="3" s="1"/>
  <c r="K749" i="3" s="1"/>
  <c r="K751" i="3" s="1"/>
  <c r="K89" i="3"/>
  <c r="J345" i="3"/>
  <c r="E346" i="3" s="1"/>
  <c r="K346" i="3" s="1"/>
  <c r="K227" i="3"/>
  <c r="K229" i="3" s="1"/>
  <c r="K231" i="3" s="1"/>
  <c r="K232" i="3" s="1"/>
  <c r="K280" i="3"/>
  <c r="K642" i="3"/>
  <c r="K765" i="3"/>
  <c r="F63" i="1"/>
  <c r="F48" i="1"/>
  <c r="F51" i="1"/>
  <c r="F57" i="1"/>
  <c r="K20" i="4"/>
  <c r="K28" i="4" s="1"/>
  <c r="K30" i="4" s="1"/>
  <c r="E50" i="1" s="1"/>
  <c r="K611" i="3"/>
  <c r="K60" i="3"/>
  <c r="K61" i="3" s="1"/>
  <c r="K618" i="3"/>
  <c r="K671" i="3"/>
  <c r="J214" i="3"/>
  <c r="E215" i="3" s="1"/>
  <c r="K215" i="3" s="1"/>
  <c r="K217" i="3" s="1"/>
  <c r="K67" i="3"/>
  <c r="K68" i="3" s="1"/>
  <c r="K306" i="3"/>
  <c r="K758" i="3"/>
  <c r="K118" i="3"/>
  <c r="K120" i="3" s="1"/>
  <c r="K654" i="3"/>
  <c r="K629" i="3"/>
  <c r="K653" i="3"/>
  <c r="K145" i="3"/>
  <c r="K35" i="3"/>
  <c r="K36" i="3" s="1"/>
  <c r="J599" i="3"/>
  <c r="J600" i="3" s="1"/>
  <c r="K617" i="3"/>
  <c r="K744" i="3"/>
  <c r="K648" i="3"/>
  <c r="K53" i="3"/>
  <c r="K54" i="3" s="1"/>
  <c r="E285" i="3"/>
  <c r="K612" i="3"/>
  <c r="K647" i="3"/>
  <c r="K195" i="3"/>
  <c r="K131" i="3"/>
  <c r="K133" i="3" s="1"/>
  <c r="K659" i="3"/>
  <c r="L41" i="4"/>
  <c r="L42" i="4"/>
  <c r="E56" i="1" s="1"/>
  <c r="K10" i="4"/>
  <c r="K12" i="4" s="1"/>
  <c r="K7" i="4"/>
  <c r="K699" i="3"/>
  <c r="K704" i="3" s="1"/>
  <c r="K703" i="3"/>
  <c r="K717" i="3"/>
  <c r="D718" i="3"/>
  <c r="K718" i="3" s="1"/>
  <c r="K728" i="3"/>
  <c r="K727" i="3"/>
  <c r="K729" i="3" s="1"/>
  <c r="K730" i="3" s="1"/>
  <c r="K108" i="3"/>
  <c r="K660" i="3"/>
  <c r="K695" i="3"/>
  <c r="K696" i="3" s="1"/>
  <c r="K489" i="3"/>
  <c r="K490" i="3" s="1"/>
  <c r="K348" i="3"/>
  <c r="K623" i="3"/>
  <c r="K630" i="3"/>
  <c r="K665" i="3"/>
  <c r="K672" i="3"/>
  <c r="K164" i="3"/>
  <c r="K170" i="3" s="1"/>
  <c r="K289" i="3"/>
  <c r="K702" i="3"/>
  <c r="K290" i="3"/>
  <c r="K269" i="3"/>
  <c r="K271" i="3" s="1"/>
  <c r="K641" i="3"/>
  <c r="K693" i="3"/>
  <c r="K635" i="3"/>
  <c r="E782" i="3"/>
  <c r="K782" i="3" s="1"/>
  <c r="K783" i="3" s="1"/>
  <c r="K677" i="3"/>
  <c r="N50" i="1"/>
  <c r="R4" i="4" s="1"/>
  <c r="K156" i="3" l="1"/>
  <c r="K158" i="3" s="1"/>
  <c r="F56" i="1"/>
  <c r="F50" i="1"/>
  <c r="K14" i="4"/>
  <c r="K15" i="4" s="1"/>
  <c r="E54" i="1" s="1"/>
  <c r="E61" i="1"/>
  <c r="E55" i="1"/>
  <c r="J122" i="3"/>
  <c r="E123" i="3" s="1"/>
  <c r="K123" i="3" s="1"/>
  <c r="K125" i="3" s="1"/>
  <c r="K701" i="3"/>
  <c r="K705" i="3" s="1"/>
  <c r="K707" i="3"/>
  <c r="D734" i="3"/>
  <c r="K734" i="3" s="1"/>
  <c r="K733" i="3"/>
  <c r="K732" i="3"/>
  <c r="D719" i="3"/>
  <c r="K719" i="3" s="1"/>
  <c r="K720" i="3" s="1"/>
  <c r="K307" i="3"/>
  <c r="K309" i="3" s="1"/>
  <c r="K311" i="3" s="1"/>
  <c r="K313" i="3" s="1"/>
  <c r="K314" i="3" s="1"/>
  <c r="K292" i="3"/>
  <c r="K294" i="3" s="1"/>
  <c r="K296" i="3" s="1"/>
  <c r="K297" i="3" s="1"/>
  <c r="K135" i="3"/>
  <c r="K160" i="3" s="1"/>
  <c r="J147" i="3"/>
  <c r="E148" i="3" s="1"/>
  <c r="K148" i="3" s="1"/>
  <c r="K150" i="3" s="1"/>
  <c r="K181" i="3" l="1"/>
  <c r="K183" i="3" s="1"/>
  <c r="F61" i="1"/>
  <c r="F55" i="1"/>
  <c r="F54" i="1"/>
  <c r="F58" i="1" s="1"/>
  <c r="E49" i="1"/>
  <c r="E60" i="1"/>
  <c r="C709" i="3"/>
  <c r="K709" i="3" s="1"/>
  <c r="K710" i="3" s="1"/>
  <c r="E735" i="3"/>
  <c r="K735" i="3" s="1"/>
  <c r="K736" i="3" s="1"/>
  <c r="K185" i="3"/>
  <c r="J197" i="3"/>
  <c r="E198" i="3" s="1"/>
  <c r="K198" i="3" s="1"/>
  <c r="K200" i="3" s="1"/>
  <c r="J172" i="3"/>
  <c r="E173" i="3" s="1"/>
  <c r="K173" i="3" s="1"/>
  <c r="K175" i="3" s="1"/>
  <c r="F49" i="1" l="1"/>
  <c r="F52" i="1" s="1"/>
  <c r="F60" i="1"/>
  <c r="F62" i="1" s="1"/>
  <c r="K711" i="3"/>
  <c r="D711" i="3"/>
  <c r="F8" i="1" l="1"/>
  <c r="G6" i="1" l="1"/>
  <c r="G57" i="1" l="1"/>
  <c r="H57" i="1" s="1"/>
  <c r="J57" i="1" s="1"/>
  <c r="G47" i="1"/>
  <c r="G8" i="1"/>
  <c r="H8" i="1" s="1"/>
  <c r="G56" i="1"/>
  <c r="G45" i="1"/>
  <c r="G7" i="1"/>
  <c r="H7" i="1" s="1"/>
  <c r="G64" i="1"/>
  <c r="H64" i="1" s="1"/>
  <c r="J64" i="1" s="1"/>
  <c r="G51" i="1"/>
  <c r="G63" i="1"/>
  <c r="H63" i="1" s="1"/>
  <c r="J63" i="1" s="1"/>
  <c r="G39" i="1"/>
  <c r="G49" i="1"/>
  <c r="G38" i="1"/>
  <c r="G48" i="1"/>
  <c r="G66" i="1"/>
  <c r="G55" i="1"/>
  <c r="H55" i="1" s="1"/>
  <c r="J55" i="1" s="1"/>
  <c r="G44" i="1"/>
  <c r="G65" i="1"/>
  <c r="H65" i="1" s="1"/>
  <c r="J65" i="1" s="1"/>
  <c r="G54" i="1"/>
  <c r="H54" i="1" s="1"/>
  <c r="J54" i="1" s="1"/>
  <c r="G43" i="1"/>
  <c r="H43" i="1" s="1"/>
  <c r="J43" i="1" s="1"/>
  <c r="G42" i="1"/>
  <c r="G50" i="1"/>
  <c r="G61" i="1"/>
  <c r="H61" i="1" s="1"/>
  <c r="J61" i="1" s="1"/>
  <c r="G60" i="1"/>
  <c r="G34" i="1"/>
  <c r="H34" i="1" s="1"/>
  <c r="H6" i="1"/>
  <c r="H66" i="1" l="1"/>
  <c r="J66" i="1" s="1"/>
  <c r="F70" i="1"/>
  <c r="H49" i="1"/>
  <c r="J49" i="1" s="1"/>
  <c r="H60" i="1"/>
  <c r="J60" i="1" s="1"/>
  <c r="J62" i="1" s="1"/>
  <c r="H38" i="1"/>
  <c r="J38" i="1" s="1"/>
  <c r="H47" i="1"/>
  <c r="J47" i="1" s="1"/>
  <c r="H39" i="1"/>
  <c r="J39" i="1" s="1"/>
  <c r="H50" i="1"/>
  <c r="J50" i="1" s="1"/>
  <c r="H42" i="1"/>
  <c r="J42" i="1" s="1"/>
  <c r="H51" i="1"/>
  <c r="J51" i="1" s="1"/>
  <c r="H45" i="1"/>
  <c r="J45" i="1" s="1"/>
  <c r="H44" i="1"/>
  <c r="J44" i="1" s="1"/>
  <c r="H56" i="1"/>
  <c r="J56" i="1" s="1"/>
  <c r="J58" i="1" s="1"/>
  <c r="H48" i="1"/>
  <c r="J48" i="1" s="1"/>
  <c r="J34" i="1"/>
  <c r="H35" i="1"/>
  <c r="J35" i="1"/>
  <c r="C11" i="1"/>
  <c r="J52" i="1" l="1"/>
  <c r="J67" i="1"/>
  <c r="J40" i="1"/>
  <c r="J68" i="1" l="1"/>
</calcChain>
</file>

<file path=xl/comments1.xml><?xml version="1.0" encoding="utf-8"?>
<comments xmlns="http://schemas.openxmlformats.org/spreadsheetml/2006/main">
  <authors>
    <author>Pongnithis Chaiyaphumtanachok</author>
  </authors>
  <commentList>
    <comment ref="F71" authorId="0" shapeId="0">
      <text>
        <r>
          <rPr>
            <b/>
            <sz val="9"/>
            <color indexed="81"/>
            <rFont val="Tahoma"/>
            <family val="2"/>
          </rPr>
          <t xml:space="preserve">ทารองพื้น 1 เที่ยว
ทาทับหน้า 2 เที่ยว
</t>
        </r>
      </text>
    </comment>
  </commentList>
</comments>
</file>

<file path=xl/comments2.xml><?xml version="1.0" encoding="utf-8"?>
<comments xmlns="http://schemas.openxmlformats.org/spreadsheetml/2006/main">
  <authors>
    <author>Pongnithis Chaiyaphumtanachok</author>
  </authors>
  <commentList>
    <comment ref="F708" authorId="0" shapeId="0">
      <text>
        <r>
          <rPr>
            <b/>
            <sz val="9"/>
            <color indexed="81"/>
            <rFont val="Tahoma"/>
            <family val="2"/>
          </rPr>
          <t xml:space="preserve">ทารองพื้น 1 เที่ยว
ทาทับหน้า 2 เที่ยว
</t>
        </r>
      </text>
    </comment>
  </commentList>
</comments>
</file>

<file path=xl/sharedStrings.xml><?xml version="1.0" encoding="utf-8"?>
<sst xmlns="http://schemas.openxmlformats.org/spreadsheetml/2006/main" count="4426" uniqueCount="1480">
  <si>
    <t>รายการที่</t>
  </si>
  <si>
    <t>รายละเอียดงาน</t>
  </si>
  <si>
    <t>ปริมาณงาน</t>
  </si>
  <si>
    <t>ราคาต่อหน่วย</t>
  </si>
  <si>
    <t>จำนวนเงิน</t>
  </si>
  <si>
    <t>หน่วย</t>
  </si>
  <si>
    <t>ปริมาณ</t>
  </si>
  <si>
    <t>รวม Factor F</t>
  </si>
  <si>
    <t>(บาท)</t>
  </si>
  <si>
    <t>หมวดงานชั่วคราว</t>
  </si>
  <si>
    <t>งานผันน้ำระหว่างงานก่อสร้าง</t>
  </si>
  <si>
    <t>เหมา</t>
  </si>
  <si>
    <t>รวม 1 หมวดงานชั่วคราว</t>
  </si>
  <si>
    <t>หมวดงานก่อสร้าง</t>
  </si>
  <si>
    <t>งานถางป่า ขุดตอ และงานขุดเปิดหน้าดิน</t>
  </si>
  <si>
    <t>งานถางป่า ขุดตอ</t>
  </si>
  <si>
    <t>ตร.ม.</t>
  </si>
  <si>
    <t xml:space="preserve">งานขุดเปิดหน้าดิน </t>
  </si>
  <si>
    <t>ลบ.ม.</t>
  </si>
  <si>
    <t>งานดินขุดด้วยเครื่องจักร</t>
  </si>
  <si>
    <t>งานดินถมบดอัดแน่น ไม่น้อยกว่า 95% S.P.C.T.</t>
  </si>
  <si>
    <t>งานหินเรียงหนาไม่น้อยกว่า 0.30 ม.</t>
  </si>
  <si>
    <t xml:space="preserve"> </t>
  </si>
  <si>
    <t>แผ่นใยสังเคราะห์ (TS-50)</t>
  </si>
  <si>
    <t>งานโครงสร้างฝาย</t>
  </si>
  <si>
    <t>งาน RC Sheet Pile 0.50x0.30x9 ม.</t>
  </si>
  <si>
    <t>ท่อน</t>
  </si>
  <si>
    <t>งานแผ่นพื้นหล่อสำเร็จ กว้าง 0.49 ม.</t>
  </si>
  <si>
    <t>1 ลบ.ม</t>
  </si>
  <si>
    <t>ปริมาณรวม</t>
  </si>
  <si>
    <t>ไม้แบบ(ตรม)</t>
  </si>
  <si>
    <t>งานคอนกรีตโครงสร้าง (280 ksc.)</t>
  </si>
  <si>
    <t>งานเหล็กเสริมคอนกรีต</t>
  </si>
  <si>
    <t>กก.</t>
  </si>
  <si>
    <t>กระดาษชานอ้อยหนา 0.01 ม.</t>
  </si>
  <si>
    <t>งานโครงสร้างกำแพงกันดิน</t>
  </si>
  <si>
    <t>เสาเข็ม คอร. ขนาด 0.26x0.26 ม. ความยาว 4 ม.</t>
  </si>
  <si>
    <t>ต้น</t>
  </si>
  <si>
    <t>Side Drain</t>
  </si>
  <si>
    <t>จุด</t>
  </si>
  <si>
    <t>งานลาดคอนกรีต</t>
  </si>
  <si>
    <t>ลูกรังบดอัดแน่น</t>
  </si>
  <si>
    <t>งานราวกันตก</t>
  </si>
  <si>
    <t>ม.</t>
  </si>
  <si>
    <t>บานระบายขนาด 1.00x1.00 ม.</t>
  </si>
  <si>
    <t>ชุด</t>
  </si>
  <si>
    <t>เครื่องยกบานระบายพร้อมเพลาขนาด 1,250 กก.</t>
  </si>
  <si>
    <t>ระยะเวลา  พฤศจิกายน 2568</t>
  </si>
  <si>
    <t>สำนักงานพาณิชย์จังหวัดระยอง กระทรวงพาณิชย์</t>
  </si>
  <si>
    <t>หมายเหตุ :  ผู้มีหน้าที่ใช้ราคาต้องเข้ามาติดตามราคาและประกาศอย่างต่อเนื่อง เนื่องจากอาจมีการปรับปรุงราคาที่เผยแพร่แล้ว ราคาวัสดุก่อสร้างจังหวัดระยอง (ราคาเงินสด ไม่รวมภาษีมูลค่าเพิ่ม ไม่รวมค่าขนส่ง)</t>
  </si>
  <si>
    <t>วันที่ดาวน์โหลดไฟล์ 11 ธันวาคม 2568 09:19:42น.</t>
  </si>
  <si>
    <t>รหัสหมวด</t>
  </si>
  <si>
    <t>ชื่อหมวดสินค้า</t>
  </si>
  <si>
    <t>รหัส</t>
  </si>
  <si>
    <t>รายการ</t>
  </si>
  <si>
    <t>พฤศจิกายน</t>
  </si>
  <si>
    <t>01</t>
  </si>
  <si>
    <t>วัสดุเทหล่อกับที่</t>
  </si>
  <si>
    <t>0101010100100000</t>
  </si>
  <si>
    <t>คอนกรีตผสมเสร็จรูปลูกบาศก์ 180 กก./ตร.ซม. และ รูปทรงกระบอก 140กก./ตร.ซม.  ตราซีแพค</t>
  </si>
  <si>
    <t>2,028.04</t>
  </si>
  <si>
    <t>0101010100200000</t>
  </si>
  <si>
    <t>คอนกรีตผสมเสร็จรูปลูกบาศก์ 210 กก./ตร.ซม. และ รูปทรงกระบอก 180 กก./ตร.ซม.   ตราซีแพค</t>
  </si>
  <si>
    <t>2,065.42</t>
  </si>
  <si>
    <t>0101010100300000</t>
  </si>
  <si>
    <t>คอนกรีตผสมเสร็จรูปลูกบาศก์ 240 กก./ตร.ซม. และรูปทรงกระบอก 210 กก./ตร.ซม.   ตราซีแพค</t>
  </si>
  <si>
    <t>2,102.80</t>
  </si>
  <si>
    <t>0101010100400000</t>
  </si>
  <si>
    <t>คอนกรีตผสมเสร็จรูปลูกบาศก์ 280 กก./ตร.ซม. และ รูปทรงกระบอก 240 กก./ตร.ซม.   ตราซีเแพค</t>
  </si>
  <si>
    <t>2,140.19</t>
  </si>
  <si>
    <t>0101010100500000</t>
  </si>
  <si>
    <t>คอนกรีตผสมเสร็จรูปลูกบาศก์ 320 กก./ตร.ซม. และ รูปทรงกระบอก 280 กก./ตร.ซม.   ตราซีแพค</t>
  </si>
  <si>
    <t>2,308.41</t>
  </si>
  <si>
    <t>0101010100600000</t>
  </si>
  <si>
    <t>คอนกรีตผสมเสร็จรูปลูกบาศก์ 350 กก./ตร.ซม. และ รูปทรงกระบอก 300 กก./ตร.ซม.  ตราซีแพค</t>
  </si>
  <si>
    <t>2,355.14</t>
  </si>
  <si>
    <t>0101010100700000</t>
  </si>
  <si>
    <t>คอนกรีตผสมเสร็จรูปลูกบาศก์ 380 กก./ตร.ซม. และ รูปทรงกระบอก 320 กก./ตร.ซม.  ตราซีแพค</t>
  </si>
  <si>
    <t>2,411.21</t>
  </si>
  <si>
    <t>0101010100800000</t>
  </si>
  <si>
    <t>คอนกรีตผสมเสร็จรูปลูกบาศก์ 400 กก./ตร.ซม. และ รูปทรงกระบอก 350 กก./ตร.ซม.  ตราซีแพค</t>
  </si>
  <si>
    <t>2,476.64</t>
  </si>
  <si>
    <t>02</t>
  </si>
  <si>
    <t>วัสดุก่อ</t>
  </si>
  <si>
    <t>0201010100100000</t>
  </si>
  <si>
    <t>คอนกรีตบล็อกก่อผนัง  ชนิดธรรมดา  ขนาด   19 x 39 x 7 ซม.</t>
  </si>
  <si>
    <t>ก้อน</t>
  </si>
  <si>
    <t>8.41</t>
  </si>
  <si>
    <t>0201010100200000</t>
  </si>
  <si>
    <t>คอนกรีตบล็อกก่อผนัง  ชนิดธรรมดา  ขนาด   19 x 39 x 9 ซม.</t>
  </si>
  <si>
    <t>11.21</t>
  </si>
  <si>
    <t>0201010100300000</t>
  </si>
  <si>
    <t>คอนกรีตบล็อกก่อผนัง  ชนิดกันฝน    ขนาด   19 x 39 x 9 ซม.</t>
  </si>
  <si>
    <t>12.15</t>
  </si>
  <si>
    <t>0205010100100000</t>
  </si>
  <si>
    <t>อิฐมอญ     ขนาด 7x 16 x 3.5 ซม.</t>
  </si>
  <si>
    <t>1.53</t>
  </si>
  <si>
    <t>03</t>
  </si>
  <si>
    <t>ชิ้นส่วนโครงสร้างสำเร็จรูป</t>
  </si>
  <si>
    <t>0303010101400000</t>
  </si>
  <si>
    <t>เสาเข็มคอนกรีตอัดแรง  รูปสี่เหลี่ยมตัน   ขนาด  0.18 x 0.18   ม.  ยาว  8.00 ม.</t>
  </si>
  <si>
    <t>1,850.47</t>
  </si>
  <si>
    <t>0303010101500000</t>
  </si>
  <si>
    <t>เสาเข็มคอนกรีตอัดแรง  รูปสี่เหลี่ยมตัน   ขนาด  0.18 x 0.18   ม.   ยาว 10.00 ม.</t>
  </si>
  <si>
    <t>2,313.08</t>
  </si>
  <si>
    <t>0303010101700000</t>
  </si>
  <si>
    <t>เสาเข็มคอนกรีตอัดแรง  รูปสี่เหลี่ยมตัน   ขนาด  0.22 x 0.22   ม.   ยาว 10.00 ม.</t>
  </si>
  <si>
    <t>3,271.03</t>
  </si>
  <si>
    <t>0303010101800000</t>
  </si>
  <si>
    <t>เสาเข็มคอนกรีตอัดแรง  รูปสี่เหลี่ยมตัน   ขนาด  0.18 x 0.18   ม.   ยาว 12.00 ม.</t>
  </si>
  <si>
    <t>2,775.70</t>
  </si>
  <si>
    <t>0303010102000000</t>
  </si>
  <si>
    <t>เสาเข็มคอนกรีตอัดแรง  รูปสี่เหลี่ยมตัน  ขนาด  0.22 x 0.22   ม.   ยาว 15.00 ม.</t>
  </si>
  <si>
    <t>4,906.54</t>
  </si>
  <si>
    <t>0303010102100000</t>
  </si>
  <si>
    <t>เสาเข็มคอนกรีตอัดแรง  รูปสี่เหลี่ยมตัน  ขนาด  0.18 x 0.18   ม.   ยาว  16.00 ม.</t>
  </si>
  <si>
    <t>3,700.93</t>
  </si>
  <si>
    <t>0303010102200000</t>
  </si>
  <si>
    <t>เสาเข็มคอนกรีตอัดแรง  รูปสี่เหลี่ยมตัน  ขนาด  0.22 x 0.22   ม.   ยาว  21.00 ม.</t>
  </si>
  <si>
    <t>7,149.53</t>
  </si>
  <si>
    <t>0303010102300000</t>
  </si>
  <si>
    <t>เสาเข็มคอนกรีตอัดแรง  รูปสี่เหลี่ยมตัน  ขนาด  0.26 x 0.26   ม.   ยาว  21.00 ม.</t>
  </si>
  <si>
    <t>8,439.25</t>
  </si>
  <si>
    <t>0303010102400000</t>
  </si>
  <si>
    <t>เสาเข็มคอนกรีตอัดแรง  รูปสี่เหลี่ยมตัน  ขนาด  0.30 x 0.30   ม.   ยาว  21.00 ม.</t>
  </si>
  <si>
    <t>9,532.71</t>
  </si>
  <si>
    <t>0303010102500000</t>
  </si>
  <si>
    <t>เสาเข็มคอนกรีตอัดแรง  รูปสี่เหลี่ยมตัน  ขนาด  0.35 x 0.35   ม.  ยาว  21.00 ม.</t>
  </si>
  <si>
    <t>13,364.49</t>
  </si>
  <si>
    <t>0303010102600000</t>
  </si>
  <si>
    <t>เสาเข็มคอนกรีตอัดแรง  รูปสี่เหลี่ยมตัน  ขนาด  0.40 x 0.40   ม.   ยาว  21.00 ม.</t>
  </si>
  <si>
    <t>17,663.55</t>
  </si>
  <si>
    <t>04</t>
  </si>
  <si>
    <t>วัสดุชิ้นส่วนหน้าตัดรูปต่างๆ</t>
  </si>
  <si>
    <t>0401010100100000</t>
  </si>
  <si>
    <t>เหล็กเส้นกลมผิวเรียบ   SR.24   ยาว 10 เมตร   ศก. 6  มม.</t>
  </si>
  <si>
    <t>ตัน</t>
  </si>
  <si>
    <t>21,890.88</t>
  </si>
  <si>
    <t>0401010100200000</t>
  </si>
  <si>
    <t>เหล็กเส้นกลมผิวเรียบ   SR.24   ยาว 10 เมตร   ศก. 9  มม.</t>
  </si>
  <si>
    <t>21,290.41</t>
  </si>
  <si>
    <t>0401020200200000</t>
  </si>
  <si>
    <t>เหล็กเส้นกลมผิวข้ออ้อย  SD.40   ยาว  10 เมตร  ศก. 12  มม.</t>
  </si>
  <si>
    <t>20,662.83</t>
  </si>
  <si>
    <t>0401020200300000</t>
  </si>
  <si>
    <t>เหล็กเส้นกลมผิวข้ออ้อย  SD.40   ยาว  10 เมตร  ศก. 16  มม.</t>
  </si>
  <si>
    <t>20,307.70</t>
  </si>
  <si>
    <t>0401020200400000</t>
  </si>
  <si>
    <t>เหล็กเส้นกลมผิวข้ออ้อย  SD.40   ยาว  10 เมตร  ศก. 20  มม.</t>
  </si>
  <si>
    <t>20,502.27</t>
  </si>
  <si>
    <t>0401020200500000</t>
  </si>
  <si>
    <t>เหล็กเส้นกลมผิวข้ออ้อย  SD.40   ยาว  10 เมตร  ศก. 25  มม.</t>
  </si>
  <si>
    <t>20,662.99</t>
  </si>
  <si>
    <t>0401030100100000</t>
  </si>
  <si>
    <t>ลวดผูกเหล็ก   ศก.  1.25 มม.  (เบอร์ 18)</t>
  </si>
  <si>
    <t>59.58</t>
  </si>
  <si>
    <t>0402010100200000</t>
  </si>
  <si>
    <t>เหล็กฉาก  หนา  4  มม.  ยาว   6  เมตร    ขนาด  40 x 40  มม.    น้ำหนัก 14.5 กก.</t>
  </si>
  <si>
    <t>350.47</t>
  </si>
  <si>
    <t>0402040200100000</t>
  </si>
  <si>
    <t>เหล็กตัวซี (Light  Lip Channel Steel)  หนา 2.3  มม.  ยาว 6  เมตร   ขนาด 75 x 45 x 15  มม.  น้ำหนัก 21  กก./ท่อน</t>
  </si>
  <si>
    <t>458.41</t>
  </si>
  <si>
    <t>0402040200200000</t>
  </si>
  <si>
    <t>เหล็กตัวซี (Light  Lip Channel Steel)  หนา  3.2  มม.  ยาว  6  เมตร   ขนาด  75 x 45 x 15  มม.  น้ำหนัก  26.0 กก.</t>
  </si>
  <si>
    <t>700.93</t>
  </si>
  <si>
    <t>0402040200300000</t>
  </si>
  <si>
    <t>เหล็กตัวซี (Light  Lip Channel Steel)  หนา 2.3  มม.  ยาว 6  เมตร  ขนาด  100 x 50 x 20  มม.  น้ำหนัก  23.5 กก.</t>
  </si>
  <si>
    <t>558.88</t>
  </si>
  <si>
    <t>0402040200400000</t>
  </si>
  <si>
    <t>เหล็กตัวซี (Light  Lip Channel Steel)  หนา  3.2  มม.  ยาว  6  เมตร   ขนาด 100 x 50 x 20  มม.  น้ำหนัก  34.0  กก.</t>
  </si>
  <si>
    <t>650.47</t>
  </si>
  <si>
    <t>0402040200500000</t>
  </si>
  <si>
    <t>เหล็กตัวซี (Light  Lip Channel Steel)  หนา  2.3  มม.  ยาว 6  เมตร  ขนาด 125 x 50 x 20  มม.  น้ำหนัก  25.5  กก.</t>
  </si>
  <si>
    <t>561.22</t>
  </si>
  <si>
    <t>0402040200600000</t>
  </si>
  <si>
    <t>เหล็กตัวซี (Light  Lip Channel Steel)  หนา 3.2 มม.   ยาว  6  เมตร   ขนาด  125 x 50 x 20  มม.  น้ำหนัก  36.5 กก.</t>
  </si>
  <si>
    <t>768.69</t>
  </si>
  <si>
    <t>0402040200700000</t>
  </si>
  <si>
    <t>เหล็กตัวซี (Light  Lip Channel Steel)  หนา  2.3  มม.  ยาว 6 เมตร  ขนาด 150 x 50 x 20  มม.  น้ำหนัก  29.5  กก.</t>
  </si>
  <si>
    <t>645.79</t>
  </si>
  <si>
    <t>0402040200800000</t>
  </si>
  <si>
    <t>เหล็กตัวซี (Light  Lip Channel Steel)  หนา 3.2  มม.  ยาว 6 เมตร  ขนาด 150 x 50 x 20  มม.  น้ำหนัก  40.3 กก.</t>
  </si>
  <si>
    <t>803.74</t>
  </si>
  <si>
    <t>0402040200900000</t>
  </si>
  <si>
    <t>เหล็กตัวซี (Light  Lip Channel Steel) หนา  2.3  มม. ยาว  6  เมตร   ขนาด 75 x 45 x 15  มม.  น้ำหนัก 15 -16  กก.</t>
  </si>
  <si>
    <t>420.56</t>
  </si>
  <si>
    <t>0402040201000000</t>
  </si>
  <si>
    <t>เหล็กตัวซี (Light  Lip Channel Steel) หนา  3.2  มม.  ยาว 6  เมตร     ขนาด  75 x 45 x 15  มม.   น้ำหนัก 17 -18 กก.</t>
  </si>
  <si>
    <t>476.64</t>
  </si>
  <si>
    <t>0402040201100000</t>
  </si>
  <si>
    <t>เหล็กตัวซี (Light  Lip Channel Steel) หนา  2.3  มม.  ยาว 6  เมตร   ขนาด  100 x 50 x 20  มม.  น้ำหนัก 20  กก.</t>
  </si>
  <si>
    <t>0402040201200000</t>
  </si>
  <si>
    <t>เหล็กตัวซี (Light  Lip Channel Steel) หนา  3.2  มม.  ยาว  6  เมตร   ขนาด 100 x 50 x 20  มม.  น้ำหนัก 26 -  27 กก.</t>
  </si>
  <si>
    <t>626.17</t>
  </si>
  <si>
    <t>0402040201300000</t>
  </si>
  <si>
    <t>เหล็กตัวซี (Light  Lip Channel Steel) หนา  3.2  มม.  ยาว  6  เมตร   ขนาด 125 x 50 x 20  มม.  น้ำหนัก  30 -33  กก.</t>
  </si>
  <si>
    <t>728.97</t>
  </si>
  <si>
    <t>0402040201400000</t>
  </si>
  <si>
    <t>เหล็กตัวซี (Light  Lip Channel Steel)  หนา  2.3  มม.  ยาว 6  เมตร   ขนาด  125 x 50 x 20  มม.   น้ำหนัก 22 - 23  กก.</t>
  </si>
  <si>
    <t>495.33</t>
  </si>
  <si>
    <t>05</t>
  </si>
  <si>
    <t>วัสดุท่อ</t>
  </si>
  <si>
    <t>0503010100100000</t>
  </si>
  <si>
    <t>ท่อเหล็กเคลือบสังกะสี รวมข้อต่อตรง 1 อัน ประเภท BS-M   ยาว 6 เมตร   ศก. 1/2 นิ้ว</t>
  </si>
  <si>
    <t>305.61</t>
  </si>
  <si>
    <t>0504010100100000</t>
  </si>
  <si>
    <t>ข้อต่อตรงเหล็กเคลือบสังกะสี  ศก.    1/2  นิ้ว</t>
  </si>
  <si>
    <t>อัน</t>
  </si>
  <si>
    <t>14.93</t>
  </si>
  <si>
    <t>0504010100200000</t>
  </si>
  <si>
    <t>ข้อต่อตรงเหล็กเคลือบสังกะสี  ศก.    3/4  นิ้ว</t>
  </si>
  <si>
    <t>15.99</t>
  </si>
  <si>
    <t>0504010100300000</t>
  </si>
  <si>
    <t>ข้อต่อตรงเหล็กเคลือบสังกะสี  ศก.    1 นิ้ว</t>
  </si>
  <si>
    <t>34.82</t>
  </si>
  <si>
    <t>0504020100100000</t>
  </si>
  <si>
    <t>ข้อต่องอเหล็กเคลือบสังกะสี 90 องศา  ศก.    1/2 นิ้ว</t>
  </si>
  <si>
    <t>16.74</t>
  </si>
  <si>
    <t>0504020100200000</t>
  </si>
  <si>
    <t>ข้อต่องอเหล็กเคลือบสังกะสี 90 องศา  ศก.    3/4 นิ้ว</t>
  </si>
  <si>
    <t>22.01</t>
  </si>
  <si>
    <t>0504020100300000</t>
  </si>
  <si>
    <t>ข้อต่องอเหล็กเคลือบสังกะสี 90 องศา  ศก.    1 นิ้ว</t>
  </si>
  <si>
    <t>41.84</t>
  </si>
  <si>
    <t>0504030100100000</t>
  </si>
  <si>
    <t>สามทาง 90 องศาเหล็กเคลือบสังกะสี    ศก.  1/2 นิ้ว</t>
  </si>
  <si>
    <t>23.15</t>
  </si>
  <si>
    <t>0504030100200000</t>
  </si>
  <si>
    <t>สามทาง 90 องศาเหล็กเคลือบสังกะสี    ศก.  3/4 นิ้ว</t>
  </si>
  <si>
    <t>33.19</t>
  </si>
  <si>
    <t>0504030100300000</t>
  </si>
  <si>
    <t>สามทาง 90 องศาเหล็กเคลือบสังกะสี    ศก.  1 นิ้ว</t>
  </si>
  <si>
    <t>58.08</t>
  </si>
  <si>
    <t>0506030100100000</t>
  </si>
  <si>
    <t>ท่อ พีวีซี  แข็ง ท่อประปา   ชนิดปลายธรรมดา  ชั้น 13.5   ยาว  4  เมตร   เส้นผ่านศูนย์กลาง  1/2"   ตราท่อน้ำไทย</t>
  </si>
  <si>
    <t>57.01</t>
  </si>
  <si>
    <t>0506030100200000</t>
  </si>
  <si>
    <t>ท่อ พีวีซี  แข็ง ท่อประปา   ชนิดปลายธรรมดา  ชั้น 13.5   ยาว  4  เมตร   เส้นผ่านศูนย์กลาง  3/4"   ตราท่อน้ำไทย</t>
  </si>
  <si>
    <t>68.69</t>
  </si>
  <si>
    <t>0506030100300000</t>
  </si>
  <si>
    <t>ท่อ พีวีซี  แข็ง ท่อประปา   ชนิดปลายธรรมดา  ชั้น 13.5   ยาว  4  เมตร   เส้นผ่านศูนย์กลาง  1"   ตราท่อน้ำไทย</t>
  </si>
  <si>
    <t>111.22</t>
  </si>
  <si>
    <t>0506030100400000</t>
  </si>
  <si>
    <t>ท่อ พีวีซี  แข็ง ท่อประปา   ชนิดปลายธรรมดา  ชั้น 13.5   ยาว  4  เมตร   เส้นผ่านศูนย์กลาง  1 1/4"   ตราท่อน้ำไทย</t>
  </si>
  <si>
    <t>132.71</t>
  </si>
  <si>
    <t>0506030100500000</t>
  </si>
  <si>
    <t>ท่อ พีวีซี  แข็ง ท่อประปา   ชนิดปลายธรรมดา  ชั้น 13.5   ยาว  4  เมตร   เส้นผ่านศูนย์กลาง  1 1/2"   ตราท่อน้ำไทย</t>
  </si>
  <si>
    <t>171.03</t>
  </si>
  <si>
    <t>0506030100600000</t>
  </si>
  <si>
    <t>ท่อ พีวีซี  แข็ง ท่อประปา   ชนิดปลายธรรมดา  ชั้น 13.5   ยาว  4  เมตร   เส้นผ่านศูนย์กลาง  2"   ตราท่อน้ำไทย</t>
  </si>
  <si>
    <t>260.75</t>
  </si>
  <si>
    <t>0506030100700000</t>
  </si>
  <si>
    <t>ท่อ พีวีซี  แข็ง ท่อประปา   ชนิดปลายธรรมดา  ชั้น 13.5   ยาว  4  เมตร   เส้นผ่านศูนย์กลาง  2 1/2"   ตราท่อน้ำไทย</t>
  </si>
  <si>
    <t>300.93</t>
  </si>
  <si>
    <t>0506030100800000</t>
  </si>
  <si>
    <t>ท่อ พีวีซี  แข็ง ท่อประปา   ชนิดปลายธรรมดา  ชั้น 13.5   ยาว  4  เมตร   เส้นผ่านศูนย์กลาง  3"   ตราท่อน้ำไทย</t>
  </si>
  <si>
    <t>598.13</t>
  </si>
  <si>
    <t>0506030100900000</t>
  </si>
  <si>
    <t>ท่อ พีวีซี  แข็ง ท่อประปา   ชนิดปลายธรรมดา  ชั้น 13.5   ยาว  4  เมตร   เส้นผ่านศูนย์กลาง  4"   ตราท่อน้ำไทย</t>
  </si>
  <si>
    <t>971.96</t>
  </si>
  <si>
    <t>0506030102000000</t>
  </si>
  <si>
    <t>ท่อ พีวีซี  แข็ง ท่อประปา   ชนิดปลายธรรมดา  ชั้น 13.5   ยาว  4  เมตร   เส้นผ่านศูนย์กลาง  1/2"   ตราช้าง</t>
  </si>
  <si>
    <t>51.40</t>
  </si>
  <si>
    <t>0506030102100000</t>
  </si>
  <si>
    <t>ท่อ พีวีซี  แข็ง ท่อประปา   ชนิดปลายธรรมดา  ชั้น 13.5   ยาว  4  เมตร   เส้นผ่านศูนย์กลาง  3/4"   ตราช้าง</t>
  </si>
  <si>
    <t>71.96</t>
  </si>
  <si>
    <t>0506030102200000</t>
  </si>
  <si>
    <t>ท่อ พีวีซี  แข็ง ท่อประปา   ชนิดปลายธรรมดา  ชั้น 13.5   ยาว  4  เมตร   เส้นผ่านศูนย์กลาง  1"   ตราช้าง</t>
  </si>
  <si>
    <t>100.93</t>
  </si>
  <si>
    <t>0506030104600000</t>
  </si>
  <si>
    <t>ท่อ พีวีซี  แข็ง ท่อประปา   ชนิดปลายธรรมดา  ชั้น 13.5   ยาว  4  เมตร   เส้นผ่านศูนย์กลาง  1 1/4"   ตราช้าง</t>
  </si>
  <si>
    <t>0506030104700000</t>
  </si>
  <si>
    <t>ท่อ พีวีซี  แข็ง ท่อประปา   ชนิดปลายธรรมดา  ชั้น 13.5   ยาว  4  เมตร   เส้นผ่านศูนย์กลาง  1 1/2"   ตราช้าง</t>
  </si>
  <si>
    <t>169.16</t>
  </si>
  <si>
    <t>0506030104800000</t>
  </si>
  <si>
    <t>ท่อ พีวีซี  แข็ง ท่อประปา   ชนิดปลายธรรมดา  ชั้น 13.5   ยาว  4  เมตร   เส้นผ่านศูนย์กลาง  2"   ตราช้าง</t>
  </si>
  <si>
    <t>259.81</t>
  </si>
  <si>
    <t>0506030104900000</t>
  </si>
  <si>
    <t>ท่อ พีวีซี  แข็ง ท่อประปา   ชนิดปลายธรรมดา  ชั้น 13.5   ยาว  4  เมตร   เส้นผ่านศูนย์กลาง  2 1/2"   ตราช้าง</t>
  </si>
  <si>
    <t>431.78</t>
  </si>
  <si>
    <t>0506030105000000</t>
  </si>
  <si>
    <t>ท่อ พีวีซี  แข็ง ท่อประปา   ชนิดปลายธรรมดา  ชั้น 13.5   ยาว  4  เมตร   เส้นผ่านศูนย์กลาง  3"   ตราช้าง</t>
  </si>
  <si>
    <t>609.35</t>
  </si>
  <si>
    <t>0506030105100000</t>
  </si>
  <si>
    <t>ท่อ พีวีซี  แข็ง ท่อประปา   ชนิดปลายธรรมดา  ชั้น 13.5   ยาว  4  เมตร   เส้นผ่านศูนย์กลาง  4"   ตราช้าง</t>
  </si>
  <si>
    <t>921.50</t>
  </si>
  <si>
    <t>0507010100100000</t>
  </si>
  <si>
    <t>ข้อต่อท่อ พีวีซี ตรง  สำหรับใช้กับท่อรับแรงดัน   เส้นผ่านศูนย์กลาง  1/2"   ตราท่อน้ำไทย</t>
  </si>
  <si>
    <t>4.91</t>
  </si>
  <si>
    <t>0507010100200000</t>
  </si>
  <si>
    <t>ข้อต่อท่อ พีวีซี ตรง  สำหรับใช้กับท่อรับแรงดัน   เส้นผ่านศูนย์กลาง  3/4"   ตราท่อน้ำไทย</t>
  </si>
  <si>
    <t>6.31</t>
  </si>
  <si>
    <t>0507010100300000</t>
  </si>
  <si>
    <t>ข้อต่อท่อ พีวีซี ตรง  สำหรับใช้กับท่อรับแรงดัน   เส้นผ่านศูนย์กลาง  1"   ตราท่อน้ำไทย</t>
  </si>
  <si>
    <t>7.95</t>
  </si>
  <si>
    <t>0507010100400000</t>
  </si>
  <si>
    <t>ข้อต่อท่อ พีวีซี ตรง  สำหรับใช้กับท่อรับแรงดัน   เส้นผ่านศูนย์กลาง  1 1/4"   ตราท่อน้ำไทย</t>
  </si>
  <si>
    <t>9.35</t>
  </si>
  <si>
    <t>0507010100500000</t>
  </si>
  <si>
    <t>ข้อต่อท่อ พีวีซี ตรง  สำหรับใช้กับท่อรับแรงดัน   เส้นผ่านศูนย์กลาง  1 1/2"   ตราท่อน้ำไทย</t>
  </si>
  <si>
    <t>0507010100600000</t>
  </si>
  <si>
    <t>ข้อต่อท่อ พีวีซี ตรง  สำหรับใช้กับท่อรับแรงดัน   เส้นผ่านศูนย์กลาง  2"   ตราท่อน้ำไทย</t>
  </si>
  <si>
    <t>18.69</t>
  </si>
  <si>
    <t>0507010100700000</t>
  </si>
  <si>
    <t>ข้อต่อท่อ พีวีซี ตรง  สำหรับใช้กับท่อรับแรงดัน   เส้นผ่านศูนย์กลาง  2 1/2"   ตราท่อน้ำไทย</t>
  </si>
  <si>
    <t>30.84</t>
  </si>
  <si>
    <t>0507010100800000</t>
  </si>
  <si>
    <t>ข้อต่อท่อ พีวีซี ตรง  สำหรับใช้กับท่อรับแรงดัน   เส้นผ่านศูนย์กลาง  3"   ตราท่อน้ำไทย</t>
  </si>
  <si>
    <t>52.34</t>
  </si>
  <si>
    <t>0507010100900000</t>
  </si>
  <si>
    <t>ข้อต่อท่อ พีวีซี ตรง  สำหรับใช้กับท่อรับแรงดัน   เส้นผ่านศูนย์กลาง  4"   ตราท่อน้ำไทย</t>
  </si>
  <si>
    <t>93.46</t>
  </si>
  <si>
    <t>0507010101000000</t>
  </si>
  <si>
    <t>ข้อต่อท่อ พีวีซี ตรง  สำหรับใช้กับท่อรับแรงดัน   เส้นผ่านศูนย์กลาง  1/2"   ตราช้าง</t>
  </si>
  <si>
    <t>2.80</t>
  </si>
  <si>
    <t>0507010101100000</t>
  </si>
  <si>
    <t>ข้อต่อท่อ พีวีซี ตรง  สำหรับใช้กับท่อรับแรงดัน   เส้นผ่านศูนย์กลาง  3/4"   ตราช้าง</t>
  </si>
  <si>
    <t>3.64</t>
  </si>
  <si>
    <t>0507010101200000</t>
  </si>
  <si>
    <t>ข้อต่อท่อ พีวีซี ตรง  สำหรับใช้กับท่อรับแรงดัน   เส้นผ่านศูนย์กลาง  1"   ตราช้าง</t>
  </si>
  <si>
    <t>5.89</t>
  </si>
  <si>
    <t>0507010102500000</t>
  </si>
  <si>
    <t>ข้อต่อท่อ พีวีซี ตรง  สำหรับใช้กับท่อรับแรงดัน   เส้นผ่านศูนย์กลาง  1 1/4 "   ตรา ช้าง</t>
  </si>
  <si>
    <t>8.88</t>
  </si>
  <si>
    <t>0507010102600000</t>
  </si>
  <si>
    <t>ข้อต่อท่อ พีวีซี ตรง  สำหรับใช้กับท่อรับแรงดัน   เส้นผ่านศูนย์กลาง  1 1/2 "   ตรา ช้าง</t>
  </si>
  <si>
    <t>0507010102700000</t>
  </si>
  <si>
    <t>ข้อต่อท่อ พีวีซี ตรง  สำหรับใช้กับท่อรับแรงดัน   เส้นผ่านศูนย์กลาง  2 "   ตรา ช้าง</t>
  </si>
  <si>
    <t>17.76</t>
  </si>
  <si>
    <t>0507010102800000</t>
  </si>
  <si>
    <t>ข้อต่อท่อ พีวีซี ตรง  สำหรับใช้กับท่อรับแรงดัน   เส้นผ่านศูนย์กลาง   2 1/2 "   ตรา ช้าง</t>
  </si>
  <si>
    <t>28.97</t>
  </si>
  <si>
    <t>0507010102900000</t>
  </si>
  <si>
    <t>ข้อต่อท่อ พีวีซี ตรง  สำหรับใช้กับท่อรับแรงดัน   เส้นผ่านศูนย์กลาง  3 "   ตรา ช้าง</t>
  </si>
  <si>
    <t>48.60</t>
  </si>
  <si>
    <t>0507010103000000</t>
  </si>
  <si>
    <t>ข้อต่อท่อ พีวีซี ตรง  สำหรับใช้กับท่อรับแรงดัน   เส้นผ่านศูนย์กลาง  4 "   ตรา ช้าง</t>
  </si>
  <si>
    <t>88.79</t>
  </si>
  <si>
    <t>0507040100100000</t>
  </si>
  <si>
    <t>ข้อต่อท่อ พีวีซี  ข้องอ 90 องศา  สำหรับใช้กับท่อรับแรงดัน   เส้นผ่านศูนย์กลาง  1/2"   ตราท่อน้ำไทย</t>
  </si>
  <si>
    <t>5.38</t>
  </si>
  <si>
    <t>0507040100200000</t>
  </si>
  <si>
    <t>ข้อต่อท่อ พีวีซี  ข้องอ 90 องศา  สำหรับใช้กับท่อรับแรงดัน   เส้นผ่านศูนย์กลาง  3/4"   ตราท่อน้ำไทย</t>
  </si>
  <si>
    <t>7.01</t>
  </si>
  <si>
    <t>0507040100300000</t>
  </si>
  <si>
    <t>ข้อต่อท่อ พีวีซี  ข้องอ 90 องศา  สำหรับใช้กับท่อรับแรงดัน   เส้นผ่านศูนย์กลาง  1"   ตราท่อน้ำไทย</t>
  </si>
  <si>
    <t>10.28</t>
  </si>
  <si>
    <t>0507040100400000</t>
  </si>
  <si>
    <t>ข้อต่อท่อ พีวีซี  ข้องอ 90 องศา  สำหรับใช้กับท่อรับแรงดัน   เส้นผ่านศูนย์กลาง  1 1/4"   ตราท่อน้ำไทย</t>
  </si>
  <si>
    <t>14.95</t>
  </si>
  <si>
    <t>0507040100500000</t>
  </si>
  <si>
    <t>ข้อต่อท่อ พีวีซี  ข้องอ 90 องศา  สำหรับใช้กับท่อรับแรงดัน   เส้นผ่านศูนย์กลาง  1 1/2"   ตราท่อน้ำไทย</t>
  </si>
  <si>
    <t>0507040100600000</t>
  </si>
  <si>
    <t>ข้อต่อท่อ พีวีซี  ข้องอ 90 องศา  สำหรับใช้กับท่อรับแรงดัน   เส้นผ่านศูนย์กลาง  2"   ตราท่อน้ำไทย</t>
  </si>
  <si>
    <t>27.10</t>
  </si>
  <si>
    <t>0507040100800000</t>
  </si>
  <si>
    <t>ข้อต่อท่อ พีวีซี  ข้องอ 90 องศา  สำหรับใช้กับท่อรับแรงดัน   เส้นผ่านศูนย์กลาง  3"   ตราท่อน้ำไทย</t>
  </si>
  <si>
    <t>83.18</t>
  </si>
  <si>
    <t>0507040100900000</t>
  </si>
  <si>
    <t>ข้อต่อท่อ พีวีซี  ข้องอ 90 องศา  สำหรับใช้กับท่อรับแรงดัน   เส้นผ่านศูนย์กลาง  4"   ตราท่อน้ำไทย</t>
  </si>
  <si>
    <t>166.36</t>
  </si>
  <si>
    <t>0507040101000000</t>
  </si>
  <si>
    <t>ข้อต่อท่อ พีวีซี  ข้องอ 90 องศา  สำหรับใช้กับท่อรับแรงดัน   เส้นผ่านศูนย์กลาง  1/2"   ตราช้าง</t>
  </si>
  <si>
    <t>3.36</t>
  </si>
  <si>
    <t>0507040101100000</t>
  </si>
  <si>
    <t>ข้อต่อท่อ พีวีซี  ข้องอ 90 องศา  สำหรับใช้กับท่อรับแรงดัน   เส้นผ่านศูนย์กลาง  3/4"   ตราช้าง</t>
  </si>
  <si>
    <t>4.58</t>
  </si>
  <si>
    <t>0507040101200000</t>
  </si>
  <si>
    <t>ข้อต่อท่อ พีวีซี  ข้องอ 90 องศา  สำหรับใช้กับท่อรับแรงดัน   เส้นผ่านศูนย์กลาง  1"   ตราช้าง</t>
  </si>
  <si>
    <t>8.22</t>
  </si>
  <si>
    <t>0507040102500000</t>
  </si>
  <si>
    <t>ข้อต่อท่อ พีวีซี ข้องอ 90 องศา  สำหรับใช้กับท่อรับแรงดัน   เส้นผ่านศูนย์กลาง  1 1/4"   ตราช้าง</t>
  </si>
  <si>
    <t>14.02</t>
  </si>
  <si>
    <t>0507040102600000</t>
  </si>
  <si>
    <t>ข้อต่อท่อ พีวีซี ข้องอ 90 องศา  สำหรับใช้กับท่อรับแรงดัน   เส้นผ่านศูนย์กลาง  1 1/2"   ตราช้าง</t>
  </si>
  <si>
    <t>0507040102700000</t>
  </si>
  <si>
    <t>ข้อต่อท่อ พีวีซี ข้องอ 90 องศา  สำหรับใช้กับท่อรับแรงดัน   เส้นผ่านศูนย์กลาง  2"   ตราช้าง</t>
  </si>
  <si>
    <t>0507040102800000</t>
  </si>
  <si>
    <t>ข้อต่อท่อ พีวีซี ข้องอ 90 องศา  สำหรับใช้กับท่อรับแรงดัน   เส้นผ่านศูนย์กลาง  2 1/2"   ตราช้าง</t>
  </si>
  <si>
    <t>57.94</t>
  </si>
  <si>
    <t>0507040102900000</t>
  </si>
  <si>
    <t>ข้อต่อท่อ พีวีซี ข้องอ 90 องศา  สำหรับใช้กับท่อรับแรงดัน   เส้นผ่านศูนย์กลาง  3"   ตราช้าง</t>
  </si>
  <si>
    <t>81.31</t>
  </si>
  <si>
    <t>0507040103000000</t>
  </si>
  <si>
    <t>ข้อต่อท่อ พีวีซี ข้องอ 90 องศา  สำหรับใช้กับท่อรับแรงดัน   เส้นผ่านศูนย์กลาง  4"   ตราช้าง</t>
  </si>
  <si>
    <t>157.94</t>
  </si>
  <si>
    <t>0507050100300000</t>
  </si>
  <si>
    <t>ข้อต่อท่อ พีวีซี  สามทาง  90  องศา   สำหรับใช้กับท่อรับแรงดัน   เส้นผ่าศูนย์กลาง  1"     ตราท่อน้ำไทย</t>
  </si>
  <si>
    <t>ชิ้น</t>
  </si>
  <si>
    <t>0507050100400000</t>
  </si>
  <si>
    <t>ข้อต่อท่อ พีวีซี  สามทาง  90  องศา   สำหรับใช้กับท่อรับแรงดัน   เส้นผ่าศูนย์กลาง   1 1/4"   ตราท่อน้ำไทย</t>
  </si>
  <si>
    <t>0507050100500000</t>
  </si>
  <si>
    <t>ข้อต่อท่อ พีวีซี  สามทาง  90  องศา   สำหรับใช้กับท่อรับแรงดัน   เส้นผ่าศูนย์กลาง  1 1/2"   ตราท่อน้ำไทย</t>
  </si>
  <si>
    <t>0507050101000000</t>
  </si>
  <si>
    <t>ข้อต่อท่อ พีวีซี  สามทาง  90  องศา   สำหรับใช้กับท่อรับแรงดัน   เส้นผ่าศูนย์กลาง   1/2 "     ตราช้าง</t>
  </si>
  <si>
    <t>4.67</t>
  </si>
  <si>
    <t>0507050101100000</t>
  </si>
  <si>
    <t>ข้อต่อท่อ พีวีซี  สามทาง  90  องศา   สำหรับใช้กับท่อรับแรงดัน   เส้นผ่าศูนย์กลาง   3/4 "     ตราช้าง</t>
  </si>
  <si>
    <t>6.36</t>
  </si>
  <si>
    <t>0507050101200000</t>
  </si>
  <si>
    <t>ข้อต่อท่อ พีวีซี  สามทาง  90  องศา   สำหรับใช้กับท่อรับแรงดัน   เส้นผ่าศูนย์กลาง   1 "     ตราช้าง</t>
  </si>
  <si>
    <t>0507050101300000</t>
  </si>
  <si>
    <t>ข้อต่อท่อ พีวีซี  สามทาง  90  องศา   สำหรับใช้กับท่อรับแรงดัน   เส้นผ่าศูนย์กลาง   1 1/4 "     ตราช้าง</t>
  </si>
  <si>
    <t>17.29</t>
  </si>
  <si>
    <t>0507050101400000</t>
  </si>
  <si>
    <t>ข้อต่อท่อ พีวีซี  สามทาง  90  องศา   สำหรับใช้กับท่อรับแรงดัน   เส้นผ่าศูนย์กลาง   1 1/2 "     ตราช้าง</t>
  </si>
  <si>
    <t>21.31</t>
  </si>
  <si>
    <t>0507050101500000</t>
  </si>
  <si>
    <t>ข้อต่อท่อ พีวีซี  สามทาง  90  องศา   สำหรับใช้กับท่อรับแรงดัน   เส้นผ่าศูนย์กลาง   2 "     ตราช้าง</t>
  </si>
  <si>
    <t>38.79</t>
  </si>
  <si>
    <t>0507050101600000</t>
  </si>
  <si>
    <t>ข้อต่อท่อ พีวีซี  สามทาง  90  องศา   สำหรับใช้กับท่อรับแรงดัน   เส้นผ่าศูนย์กลาง   2 1/2 "     ตราช้าง</t>
  </si>
  <si>
    <t>85.05</t>
  </si>
  <si>
    <t>0507050101700000</t>
  </si>
  <si>
    <t>ข้อต่อท่อ พีวีซี  สามทาง  90  องศา   สำหรับใช้กับท่อรับแรงดัน   เส้นผ่าศูนย์กลาง   3 "     ตราช้าง</t>
  </si>
  <si>
    <t>156.07</t>
  </si>
  <si>
    <t>0507050101800000</t>
  </si>
  <si>
    <t>ข้อต่อท่อ พีวีซี  สามทาง  90  องศา   สำหรับใช้กับท่อรับแรงดัน   เส้นผ่าศูนย์กลาง   4 "     ตราช้าง</t>
  </si>
  <si>
    <t>335.51</t>
  </si>
  <si>
    <t>0512010100700000</t>
  </si>
  <si>
    <t>ท่อระบายน้ำคอนกรีตไม่เสริมเหล็ก ปากลิ้นราง  ยาว 1 เมตร  ศก. 0.30 ม.</t>
  </si>
  <si>
    <t>168.22</t>
  </si>
  <si>
    <t>0512010100800000</t>
  </si>
  <si>
    <t>ท่อระบายน้ำคอนกรีตไม่เสริมเหล็ก ปากลิ้นราง  ยาว 1 เมตร  ศก. 0.40 ม.</t>
  </si>
  <si>
    <t>280.37</t>
  </si>
  <si>
    <t>0512010100900000</t>
  </si>
  <si>
    <t>ท่อระบายน้ำคอนกรีตไม่เสริมเหล็ก ปากลิ้นราง  ยาว 1 เมตร  ศก. 0.50 ม.</t>
  </si>
  <si>
    <t>392.52</t>
  </si>
  <si>
    <t>0512010101000000</t>
  </si>
  <si>
    <t>ท่อระบายน้ำคอนกรีตไม่เสริมเหล็ก ปากลิ้นราง  ยาว 1 เมตร  ศก. 0.60 ม.</t>
  </si>
  <si>
    <t>0512010101500000</t>
  </si>
  <si>
    <t>ท่อระบายน้ำคอนกรีตไม่เสริมเหล็ก ปากลิ้นราง  ยาว 1 เมตร  ศก. 0.80 ม.</t>
  </si>
  <si>
    <t>831.78</t>
  </si>
  <si>
    <t>0512010101600000</t>
  </si>
  <si>
    <t>ท่อระบายน้ำคอนกรีตไม่เสริมเหล็ก ปากลิ้นราง  ยาว 1 เมตร  ศก. 1.00 ม.</t>
  </si>
  <si>
    <t>1,168.22</t>
  </si>
  <si>
    <t>0512020101900000</t>
  </si>
  <si>
    <t>ท่อระบายน้ำคอนกรีตเสริมเหล็ก ปากลิ้นราง  ชั้น 3  ยาว 1 เมตร  ศก. 0.30 ม.</t>
  </si>
  <si>
    <t>299.07</t>
  </si>
  <si>
    <t>0512020102000000</t>
  </si>
  <si>
    <t>ท่อระบายน้ำคอนกรีตเสริมเหล็ก ปากลิ้นราง ชั้น 3  ยาว 1 เมตร  ศก. 0.40 ม.</t>
  </si>
  <si>
    <t>411.21</t>
  </si>
  <si>
    <t>0512020102100000</t>
  </si>
  <si>
    <t>ท่อระบายน้ำคอนกรีตเสริมเหล็ก  ปากลิ้นราง ชั้น 3  ยาว 1 เมตร  ศก. 0.50 ม.</t>
  </si>
  <si>
    <t>542.06</t>
  </si>
  <si>
    <t>0512020102200000</t>
  </si>
  <si>
    <t>ท่อระบายน้ำคอนกรีตเสริมเหล็ก ปากลิ้นราง ชั้น 3  ยาว 1  เมตร  ศก. 0.60 ม.</t>
  </si>
  <si>
    <t>682.24</t>
  </si>
  <si>
    <t>0512020102300000</t>
  </si>
  <si>
    <t>ท่อระบายน้ำคอนกรีตเสริมเหล็ก  ปากลิ้นราง ชั้น 3   ยาว  1 เมตร   ศก. 0.80  ม.</t>
  </si>
  <si>
    <t>1,327.10</t>
  </si>
  <si>
    <t>0512020102400000</t>
  </si>
  <si>
    <t>ท่อระบายน้ำคอนกรีตเสริมเหล็ก  ปากลิ้นราง ชั้น 3   ยาว  1  เมตร  ศก. 1.00 ม .</t>
  </si>
  <si>
    <t>2,252.34</t>
  </si>
  <si>
    <t>0512020102500000</t>
  </si>
  <si>
    <t>ท่อระบายน้ำคอนกรีตเสริมเหล็ก  ปากลิ้นราง ชั้น 3   ยาว 1 เมตร   ศก. 1.20  ม.</t>
  </si>
  <si>
    <t>3,158.88</t>
  </si>
  <si>
    <t>0512020102600000</t>
  </si>
  <si>
    <t>ท่อระบายน้ำคอนกรีตเสริมเหล็ก  ปากลิ้นราง ชั้น 3   ยาว 1 เมตร   ศก. 1.50 ม.</t>
  </si>
  <si>
    <t>5,084.11</t>
  </si>
  <si>
    <t>0512020102700000</t>
  </si>
  <si>
    <t>ท่อระบายน้ำคอนกรีตเสริมเหล็ก  ปากลิ้นราง ชั้น 2   ยาว 1 เมตร   ศก. 0.30 ม.</t>
  </si>
  <si>
    <t>300.00</t>
  </si>
  <si>
    <t>0512020102800000</t>
  </si>
  <si>
    <t>ท่อระบายน้ำคอนกรีตเสริมเหล็ก  ปากลิ้นราง ชั้น 2  ยาว 1 เมตร   ศก. 0.40 ม.</t>
  </si>
  <si>
    <t>450.05</t>
  </si>
  <si>
    <t>0512020102900000</t>
  </si>
  <si>
    <t>ท่อระบายน้ำคอนกรีตเสริมเหล็ก  ปากลิ้นราง ชั้น 2   ยาว 1 เมตร   ศก. 0.50 ม.</t>
  </si>
  <si>
    <t>730.00</t>
  </si>
  <si>
    <t>0512020103000000</t>
  </si>
  <si>
    <t>ท่อระบายน้ำคอนกรีตเสริมเหล็ก  ปากลิ้นราง ชั้น 2   ยาว 1 เมตร   ศก. 0.60 ม.</t>
  </si>
  <si>
    <t>1,050.00</t>
  </si>
  <si>
    <t>0512020103100000</t>
  </si>
  <si>
    <t>ท่อระบายน้ำคอนกรีตเสริมเหล็ก  ปากลิ้นราง ชั้น 2   ยาว 1 เมตร   ศก. 0.80 ม.</t>
  </si>
  <si>
    <t>2,125.00</t>
  </si>
  <si>
    <t>0512020103200000</t>
  </si>
  <si>
    <t>ท่อระบายน้ำคอนกรีตเสริมเหล็ก  ปากลิ้นราง ชั้น 2   ยาว 1 เมตร   ศก. 1.00 ม.</t>
  </si>
  <si>
    <t>2,630.00</t>
  </si>
  <si>
    <t>0512020103300000</t>
  </si>
  <si>
    <t>ท่อระบายน้ำคอนกรีตเสริมเหล็ก  ปากลิ้นราง ชั้น 2   ยาว 1 เมตร   ศก. 1.20 ม.</t>
  </si>
  <si>
    <t>4,170.00</t>
  </si>
  <si>
    <t>0512020103400000</t>
  </si>
  <si>
    <t>ท่อระบายน้ำคอนกรีตเสริมเหล็ก  ปากลิ้นราง ชั้น 2   ยาว 1 เมตร   ศก. 1.50 ม.</t>
  </si>
  <si>
    <t>6,995.00</t>
  </si>
  <si>
    <t>08</t>
  </si>
  <si>
    <t>วัสดุแผ่นซ้อนทับ</t>
  </si>
  <si>
    <t>0801010100100000</t>
  </si>
  <si>
    <t>กระเบื้องคอนกรีตมุงหลังคา  ซีแพคโมเนีย  ขนาด 33 x 42 ซม. สีแดง  เทา อิฐ น้ำตาล ตราช้าง</t>
  </si>
  <si>
    <t>แผ่น</t>
  </si>
  <si>
    <t>0802010100100000</t>
  </si>
  <si>
    <t>ครอบสันโค้งกระเบื้องคอนกรีต    สีแดง เทา อิฐ น้ำตาล  ตราช้าง</t>
  </si>
  <si>
    <t>43.93</t>
  </si>
  <si>
    <t>0802010100200000</t>
  </si>
  <si>
    <t>ครอบข้างกระเบื้องคอนกรีต   สีแดง  เทา  อิฐ  น้ำตาล   ตราช้าง</t>
  </si>
  <si>
    <t>0802010100300000</t>
  </si>
  <si>
    <t>ครอบข้างปิดชายกระเบื้องคอนกรีต    สีแดง เทา อิฐ น้ำตาล  ตราช้าง</t>
  </si>
  <si>
    <t>53.27</t>
  </si>
  <si>
    <t>0802010100400000</t>
  </si>
  <si>
    <t>ครอบโค้งปิดจั่วกระเบื้องคอนกรีต    สีแดง เทา อิฐ น้ำตาล  ตราช้าง</t>
  </si>
  <si>
    <t>0805010100100000</t>
  </si>
  <si>
    <t>กระเบื้องซีเมนต์ใยหินมุงหลังคา   ลอนคู่   ขนาด 50 x 120 x 0.5 ซม.   สีซีเมนต์   ตราช้าง</t>
  </si>
  <si>
    <t>63.55</t>
  </si>
  <si>
    <t>0805030100100000</t>
  </si>
  <si>
    <t>กระเบื้องซีเมนต์ใยหินมุงหลังคา   ลูกฟูกลอนใหญ่   ขนาด 102 x 120 x 0.6 ซม.   สีซีเมนต์  ตราช้าง</t>
  </si>
  <si>
    <t>149.53</t>
  </si>
  <si>
    <t>0805030100200000</t>
  </si>
  <si>
    <t>กระเบื้องซีเมนต์ใยหินมุงหลังคา   ลูกฟูกลอนใหญ่   ขนาด 102 x 150 x 0.6 ซม.  สีซีเมนต์   ตราช้าง</t>
  </si>
  <si>
    <t>172.90</t>
  </si>
  <si>
    <t>0805040100100000</t>
  </si>
  <si>
    <t>ครอบมุมกระเบื้องซีเมนต์ใยหิน  ลูกฟูกลอนใหญ่ ขนาด 102x45 ซม. สีซีเมนต์   ตราช้าง</t>
  </si>
  <si>
    <t>0806010100100000</t>
  </si>
  <si>
    <t>เหล็กแผ่นเคลือบสังกะสี   ไม่ชุบสี    ลอนเล็ก-ใหญ่      หนา 0.20 มม.   เบอร์ 35   ขนาด 2.5' x 5'-10'</t>
  </si>
  <si>
    <t>ฟุต</t>
  </si>
  <si>
    <t>0807010100100000</t>
  </si>
  <si>
    <t>กระเบื้องลอนคู่  สีเทาซิเมนต์  ขนาด 50 x 120 x 0.5 ซม  ตราช้าง</t>
  </si>
  <si>
    <t>70.09</t>
  </si>
  <si>
    <t>0807010100200000</t>
  </si>
  <si>
    <t>กระเบื้องลอนคู่  สีเทาซิเมนต์  ขนาด 50 x 150 x 0.5 ซม  ตราช้าง</t>
  </si>
  <si>
    <t>74.77</t>
  </si>
  <si>
    <t>0807010100300000</t>
  </si>
  <si>
    <t>กระเบื้องลอนคู่  สีแดง  เขียว  ขนาด 50 x 120 x 0.5 ซม  ตราช้าง</t>
  </si>
  <si>
    <t>78.50</t>
  </si>
  <si>
    <t>0807010100400000</t>
  </si>
  <si>
    <t>กระเบื้องลอนคู่  สีแดง  เขียว  ขนาด 50 x 150 x 0.5 ซม  ตราช้าง</t>
  </si>
  <si>
    <t>84.11</t>
  </si>
  <si>
    <t>09</t>
  </si>
  <si>
    <t>วัสดุแผ่นแข็ง</t>
  </si>
  <si>
    <t>0902010100100000</t>
  </si>
  <si>
    <t>แผ่นไม้อัดยาง ชนิดใช้ภายใน เกรด A   ขนาด 4' x 8'  หนา 4 มม.</t>
  </si>
  <si>
    <t>177.57</t>
  </si>
  <si>
    <t>0902010100200000</t>
  </si>
  <si>
    <t>แผ่นไม้อัดยาง ชนิดใช้ภายใน เกรด A   ขนาด 4' x 8'  หนา 6 มม.</t>
  </si>
  <si>
    <t>271.03</t>
  </si>
  <si>
    <t>0902010100600000</t>
  </si>
  <si>
    <t>205.61</t>
  </si>
  <si>
    <t>0902010100700000</t>
  </si>
  <si>
    <t>0905010100100000</t>
  </si>
  <si>
    <t>กระเบื้องซีเมนต์ใยหิน  แผ่นเรียบ  ขนาด 120 x 240 ซม.  หนา   4   มม.  ตราช้าง</t>
  </si>
  <si>
    <t>140.19</t>
  </si>
  <si>
    <t>0905010100200000</t>
  </si>
  <si>
    <t>กระเบื้องซีเมนต์ใยหิน  แผ่นเรียบ  ขนาด 120 x 240 ซม.  หนา  6   มม.  ตราช้าง</t>
  </si>
  <si>
    <t>242.99</t>
  </si>
  <si>
    <t>0906010101100000</t>
  </si>
  <si>
    <t>แผ่นยิปซัม  ธรรมดา   ไม่มีอลูมิเนียมฟอยล์ ขนาด  120  x 240 ซม.  หนา 9  มม.</t>
  </si>
  <si>
    <t>130.85</t>
  </si>
  <si>
    <t>0906010102100000</t>
  </si>
  <si>
    <t>แผ่นยิปซัม ธรรมดา  ไม่มีอลูมิเนียมฟอยล์  ขนาด  120 x 240 ซม. หนา  9  มม.  ตรายิปรอค</t>
  </si>
  <si>
    <t>160.75</t>
  </si>
  <si>
    <t>0906020101000000</t>
  </si>
  <si>
    <t>แผ่นยิปซัม  ธรรมดา  มีอลูมิเนียมฟอยล์   ขนาด  120  x 240 ซม.  หนา  9  มม</t>
  </si>
  <si>
    <t>207.95</t>
  </si>
  <si>
    <t>0906020101800000</t>
  </si>
  <si>
    <t>แผ่นยิปซัม ธรรมดา  มีอลูมิเนียมฟอยล์  ขนาด  120 x 240 ซม. หนา  9  มม.  ตรายิปรอค</t>
  </si>
  <si>
    <t>203.74</t>
  </si>
  <si>
    <t>10</t>
  </si>
  <si>
    <t>วัสดุตกแต่งผิว</t>
  </si>
  <si>
    <t>1004010100900000</t>
  </si>
  <si>
    <t>กระเบื้องเคลือบปูพื้น  ชนิดสีเรียบ  ขนาด 8" x 8"</t>
  </si>
  <si>
    <t>157.01</t>
  </si>
  <si>
    <t>1004010101000000</t>
  </si>
  <si>
    <t>กระเบื้องเคลือบปูพื้น  ชนิดสีเรียบ   ขนาด   12" x 12"</t>
  </si>
  <si>
    <t>148.60</t>
  </si>
  <si>
    <t>1004010201500000</t>
  </si>
  <si>
    <t>กระเบื้องเคลือบปูพื้น  ชนิดลวดลาย  ขนาด     8" x 8"</t>
  </si>
  <si>
    <t>1004020101400000</t>
  </si>
  <si>
    <t>กระเบื้องเคลือบบุผนัง  ชนิดสีเรียบ    ขนาด  8" x 8"</t>
  </si>
  <si>
    <t>1004020101500000</t>
  </si>
  <si>
    <t>กระเบื้องเคลือบบุผนัง  ชนิดสีเรียบ   ขนาด  8" x 10"</t>
  </si>
  <si>
    <t>1004020101700000</t>
  </si>
  <si>
    <t>กระเบื้องเคลือบบุผนัง  ชนิดลวดลาย    ขนาด  8" x 8"</t>
  </si>
  <si>
    <t>1004020102000000</t>
  </si>
  <si>
    <t>กระเบื้องเคลือบบุผนัง  ชนิดลวดลาย    ขนาด  8" x 10"</t>
  </si>
  <si>
    <t>1006010100100000</t>
  </si>
  <si>
    <t>กระเบื้องยาง  PVC   ปูพื้น   ขนาด 9 x 9 นิ้ว   หนา  1.6  มม.  ตราไดโนเฟลกซ์</t>
  </si>
  <si>
    <t>1006010100200000</t>
  </si>
  <si>
    <t>กระเบื้องยาง  PVC   ปูพื้น  ขนาด 9 x 9 นิ้ว   หนา  2.0  มม.   ตราไดโนเฟลกซ์</t>
  </si>
  <si>
    <t>186.92</t>
  </si>
  <si>
    <t>11</t>
  </si>
  <si>
    <t>วัสดุไม้</t>
  </si>
  <si>
    <t>1103040101100000</t>
  </si>
  <si>
    <t>ไม้เต็ง  ไม่ไส   ขนาด  1" x 6"   ยาว  4 - 4.50  เมตร</t>
  </si>
  <si>
    <t>ลบ.ฟ.</t>
  </si>
  <si>
    <t>1,355.14</t>
  </si>
  <si>
    <t>1103040101200000</t>
  </si>
  <si>
    <t>ไม้เต็ง   ไม่ไส   ขนาด  1 1/2" x 6"    ยาว  4 - 4.50  เมตร</t>
  </si>
  <si>
    <t>1103040102100000</t>
  </si>
  <si>
    <t>ไม้เต็ง  ไม่ไส   ขนาด  1" x 1"    ยาว  4 - 4.50  เมตร</t>
  </si>
  <si>
    <t>1103040102200000</t>
  </si>
  <si>
    <t>ไม้เต็ง  ไม่ไส   ขนาด  1" x 4"   ยาว  4  - 4.50  เมตร</t>
  </si>
  <si>
    <t>1103070102200000</t>
  </si>
  <si>
    <t>ไม้ยาง  ไม่ไส  ขนาด  1/2" x 6"    ยาว  4 - 4.50  เมตร</t>
  </si>
  <si>
    <t>915.89</t>
  </si>
  <si>
    <t>1103070102400000</t>
  </si>
  <si>
    <t>ไม้ยาง  ไม่ไส  ขนาด  1" x 6"   ยาว  4 - 4.50  เมตร</t>
  </si>
  <si>
    <t>654.21</t>
  </si>
  <si>
    <t>1103070102500000</t>
  </si>
  <si>
    <t>ไม้ยาง  ไม่ไส  ขนาด  1" x 8"   ยาว  4 - 4.50  เมตร</t>
  </si>
  <si>
    <t>1103070102700000</t>
  </si>
  <si>
    <t>ไม้ยาง  ไม่ไส  ขนาด  1 1/2" x 3"   ยาว  4 - 4.50  เมตร</t>
  </si>
  <si>
    <t>448.60</t>
  </si>
  <si>
    <t>1103070102900000</t>
  </si>
  <si>
    <t>ไม้ยาง  ไม่ไส  ขนาด  4" x 4"   ยาว  4 - 4.50  เมตร</t>
  </si>
  <si>
    <t>1103080100900000</t>
  </si>
  <si>
    <t>ไม้กะบาก  ไม่ไส   ขนาด   1" x 4"   ยาว  4 - 4.50  เมตร</t>
  </si>
  <si>
    <t>1103080101000000</t>
  </si>
  <si>
    <t>ไม้กะบาก  ไม่ไส   ขนาด   1" x 6"   ยาว  4 - 4.50  เมตร</t>
  </si>
  <si>
    <t>1103080101100000</t>
  </si>
  <si>
    <t>ไม้กะบาก  ไม่ไส   ขนาด  1" x 8"   ยาว  4 - 4.50  เมตร</t>
  </si>
  <si>
    <t>504.67</t>
  </si>
  <si>
    <t>1103080101200000</t>
  </si>
  <si>
    <t>ไม้กะบาก  ไม่ไส   ขนาด  1" x 10"   ยาว  4 - 4.50  เมตร</t>
  </si>
  <si>
    <t>532.71</t>
  </si>
  <si>
    <t>12</t>
  </si>
  <si>
    <t>วัสดุฉาบผิว</t>
  </si>
  <si>
    <t>1202010101200000</t>
  </si>
  <si>
    <t>สีน้ำมันเคลือบชนิดด้าน  ขนาด  3.785  ลิตร  ตรากัปตัน</t>
  </si>
  <si>
    <t>แกลลอน</t>
  </si>
  <si>
    <t>668.22</t>
  </si>
  <si>
    <t>1202010101700000</t>
  </si>
  <si>
    <t>สีน้ำมันเคลือบชนิดเงา  ขนาด  3.785  ลิตร  ตรา ที โอ เอ  ( 4 seasons)</t>
  </si>
  <si>
    <t>574.77</t>
  </si>
  <si>
    <t>1203010100600000</t>
  </si>
  <si>
    <t>สีน้ำพลาสติก  ทาภายใน  ขนาด  3.785  ลิตร  ตรา โจตัน  (โจตาพลาสท์)</t>
  </si>
  <si>
    <t>369.16</t>
  </si>
  <si>
    <t>1203010100800000</t>
  </si>
  <si>
    <t>สีน้ำพลาสติก  ทาภายใน  ชนิดด้าน  ขนาด  3.785  ลิตร  ตรา ที โอ เอ   (E 100)</t>
  </si>
  <si>
    <t>518.69</t>
  </si>
  <si>
    <t>1203010101600000</t>
  </si>
  <si>
    <t>สีน้ำพลาสติก  ทาภายใน  ชนิดด้าน  ขนาด  18.925  ลิตร  ตรา ที โอ เอ   (E 100)</t>
  </si>
  <si>
    <t>ถัง</t>
  </si>
  <si>
    <t>1,415.89</t>
  </si>
  <si>
    <t>1203010102200000</t>
  </si>
  <si>
    <t>สีน้ำพลาสติก  ทาภายใน  ชนิดด้าน  ขนาด  18.925  ลิตร  ตรา ที โอ เอ  (4  seasons)</t>
  </si>
  <si>
    <t>1,572.43</t>
  </si>
  <si>
    <t>1203010102400000</t>
  </si>
  <si>
    <t>สีน้ำพลาสติก  ทาภายใน  ขนาด  3.785  ลิตร  ตรา ที โอ เอ  ( A 1000)</t>
  </si>
  <si>
    <t>331.78</t>
  </si>
  <si>
    <t>1203010102700000</t>
  </si>
  <si>
    <t>สีน้ำพลาสติก  ทาภายใน  ขนาด  3.785  ลิตร  ตรา กัปตัน ลองไลท์</t>
  </si>
  <si>
    <t>383.18</t>
  </si>
  <si>
    <t>1203020100400000</t>
  </si>
  <si>
    <t>สีน้ำพลาสติก  ภายนอก    ขนาด  3.785  ลิตร  ตรา โจตัน   (สแทรกซ์ - เดอลุกซ์ )</t>
  </si>
  <si>
    <t>457.94</t>
  </si>
  <si>
    <t>1203020101400000</t>
  </si>
  <si>
    <t>สีน้ำพลาสติก  ภายนอก  ชนิดด้าน    ขนาด  18.925  ลิตร  ตรา ที โอ เอ   (E 100)</t>
  </si>
  <si>
    <t>2,490.65</t>
  </si>
  <si>
    <t>1203020102200000</t>
  </si>
  <si>
    <t>สีน้ำพลาสติก  ทาภายนอก  ชนิดด้าน  ขนาด  18.925  ลิตร  ตรา ที โอ เอ  (4  seasons)</t>
  </si>
  <si>
    <t>2,224.30</t>
  </si>
  <si>
    <t>1203020102400000</t>
  </si>
  <si>
    <t>สีน้ำพลาสติก  ทาภายนอก  ขนาด  3.785  ลิตร  ตรา ที โอ เอ  ( A 1000)</t>
  </si>
  <si>
    <t>428.97</t>
  </si>
  <si>
    <t>1203020102900000</t>
  </si>
  <si>
    <t>สีน้ำพลาสติก  ทาภายนอก  ขนาด  3.785 ลิตร ตรา กัปตัน ลองไลท์</t>
  </si>
  <si>
    <t>425.23</t>
  </si>
  <si>
    <t>1204010100500000</t>
  </si>
  <si>
    <t>สีรองพื้นโลหะใหม่   ขนาด  3.785  ลิตร    ตรา เจ บี พี  เบอร์  1611</t>
  </si>
  <si>
    <t>1204020100100000</t>
  </si>
  <si>
    <t>สีรองพื้นปูนใหม่   ขนาด  3.785  ลิตร   ตราที โอ เอ</t>
  </si>
  <si>
    <t>1204020100200000</t>
  </si>
  <si>
    <t>สีรองพื้นปูนใหม่   ขนาด  3.785  ลิตร  ตรากัปตัน</t>
  </si>
  <si>
    <t>1204020100900000</t>
  </si>
  <si>
    <t>สีรองพื้นปูนใหม่ ชนิดทาภายใน  ขนาด  3.785  ลิตร    ตรา เจ บี พี  (# 7700 )</t>
  </si>
  <si>
    <t>247.66</t>
  </si>
  <si>
    <t>1207010100100000</t>
  </si>
  <si>
    <t>แลกเกอร์   ชนิดเงา   ขนาด  3.785  ลิตร  ตรา  ที โอ เอ</t>
  </si>
  <si>
    <t>490.66</t>
  </si>
  <si>
    <t>1209010100800000</t>
  </si>
  <si>
    <t>ทินเนอร์   ขนาด  3.785  ลิตร  ตรา  AAA</t>
  </si>
  <si>
    <t>กระป๋อง</t>
  </si>
  <si>
    <t>162.62</t>
  </si>
  <si>
    <t>1209010100900000</t>
  </si>
  <si>
    <t>ทินเนอร์  ขนาด  3.785  ลิตร   ตรา ที โอ เอ</t>
  </si>
  <si>
    <t>261.68</t>
  </si>
  <si>
    <t>13</t>
  </si>
  <si>
    <t>วัสดุขัดผิว</t>
  </si>
  <si>
    <t>1301010100700000</t>
  </si>
  <si>
    <t>กระดาษทรายขัดไม้  เบอร์ 0  ขนาด 9 x 11 นิ้ว</t>
  </si>
  <si>
    <t>โหล</t>
  </si>
  <si>
    <t>72.90</t>
  </si>
  <si>
    <t>1301010100800000</t>
  </si>
  <si>
    <t>กระดาษทรายขัดไม้  เบอร์ 3  ขนาด 9 x 11 นิ้ว</t>
  </si>
  <si>
    <t>89.72</t>
  </si>
  <si>
    <t>14</t>
  </si>
  <si>
    <t>วัสดุชิ้นส่วนสำเร็จรูป</t>
  </si>
  <si>
    <t>1411010100800000</t>
  </si>
  <si>
    <t>บานประตูไม้อัดสัก  ชนิดใช้ภายใน  หนา 3.5 ซม. ขนาด 70 x 200 ซม.</t>
  </si>
  <si>
    <t>บาน</t>
  </si>
  <si>
    <t>747.66</t>
  </si>
  <si>
    <t>1411010100900000</t>
  </si>
  <si>
    <t>บานประตูไม้อัดสัก  ชนิดใช้ภายใน  หนา 3.5 ซม. ขนาด 80 x 200 ซม.</t>
  </si>
  <si>
    <t>766.36</t>
  </si>
  <si>
    <t>1411010200800000</t>
  </si>
  <si>
    <t>บานประตูไม้อัดสัก  ชนิดใช้ภายนอก  หนา  3.5  ซม.   ขนาด 70 x 200 ซม.</t>
  </si>
  <si>
    <t>775.70</t>
  </si>
  <si>
    <t>1411010200900000</t>
  </si>
  <si>
    <t>บานประตูไม้อัดสัก  ชนิดใช้ภายนอก  หนา  3.5  ซม.   ขนาด 80 x 200 ซม.</t>
  </si>
  <si>
    <t>661.22</t>
  </si>
  <si>
    <t>1411020100100000</t>
  </si>
  <si>
    <t>บานประตูไม้อัดยาง  ชนิดใช้ภายใน  หนา 3.5 ซม.  ขนาด 70 x 200 ซม.</t>
  </si>
  <si>
    <t>607.48</t>
  </si>
  <si>
    <t>1411020100200000</t>
  </si>
  <si>
    <t>บานประตูไม้อัดยาง  ชนิดใช้ภายใน  หนา 3.5 ซม.  ขนาด 80 x 200 ซม.</t>
  </si>
  <si>
    <t>572.43</t>
  </si>
  <si>
    <t>1411020100300000</t>
  </si>
  <si>
    <t>บานประตูไม้อัดยาง  ชนิดใช้ภายนอก  หนา 3.5 ซม. ขนาด 70 x 200 ซม.</t>
  </si>
  <si>
    <t>672.90</t>
  </si>
  <si>
    <t>1411020100400000</t>
  </si>
  <si>
    <t>บานประตูไม้อัดยาง  ชนิดใช้ภายนอก  หนา 3.5 ซม.  ขนาด 80 x 200 ซม.</t>
  </si>
  <si>
    <t>1411050100200000</t>
  </si>
  <si>
    <t>บานประตูไม้เนื้อแข็ง    บานทึบ  ขนาด  80 x 200  ซม.  กรอบบานขนาด  1 1/4" x 4"  ลูกฟักหนา  1/2"</t>
  </si>
  <si>
    <t>1,953.27</t>
  </si>
  <si>
    <t>1412020100100000</t>
  </si>
  <si>
    <t>บานหน้าต่างไม้เนื้อแข็ง  บานทึบ   ขนาด  80 x 110  ซม.  กรอบบานขนาด  1 1/4" x 4"  ลูกฟักหนา  1/2"</t>
  </si>
  <si>
    <t>1,121.50</t>
  </si>
  <si>
    <t>1414010100200000</t>
  </si>
  <si>
    <t>วงกบประตูไม้เนื้อแข็ง  ไม่มีช่องแสง  ขนาด  80 x 200  ซม.  ขนาดไม้วงกบ  2" x 4"</t>
  </si>
  <si>
    <t>1415010100300000</t>
  </si>
  <si>
    <t>วงกบหน้าต่างไม้เนื้อแข็ง ไม่มีช่องแสง ขนาด  80 x 110  ซม. ขนาดไม้วงกบ  2" x 4"</t>
  </si>
  <si>
    <t>794.39</t>
  </si>
  <si>
    <t>1416010100100000</t>
  </si>
  <si>
    <t>น๊อตหัวกลมสำหรับงานไม้  ขนาดเส้นผ่าศูนย์กลาง 9 มม. ยาว   6 นิ้ว</t>
  </si>
  <si>
    <t>56.07</t>
  </si>
  <si>
    <t>1417010100500000</t>
  </si>
  <si>
    <t>ตะปูตอกไม้  ชนิดผอม  ขนาด   3  นิ้ว</t>
  </si>
  <si>
    <t>35.51</t>
  </si>
  <si>
    <t>1417020100200000</t>
  </si>
  <si>
    <t>ตะปูตอกคอนกรีต   ขนาด 3" - 4"</t>
  </si>
  <si>
    <t>66.36</t>
  </si>
  <si>
    <t>1417030100200000</t>
  </si>
  <si>
    <t>ตะปูตอกสังกะสี   ขนาด 1 3/4"   เบอร์ 13</t>
  </si>
  <si>
    <t>65.42</t>
  </si>
  <si>
    <t>1417030100900000</t>
  </si>
  <si>
    <t>กล่อง</t>
  </si>
  <si>
    <t>16.82</t>
  </si>
  <si>
    <t>1417040100100000</t>
  </si>
  <si>
    <t>ตะปูเกลียว  ขนาด 3"</t>
  </si>
  <si>
    <t>ตัว</t>
  </si>
  <si>
    <t>2.87</t>
  </si>
  <si>
    <t>1417040100200000</t>
  </si>
  <si>
    <t>ตะปูเกลียว  ขนาด 4"</t>
  </si>
  <si>
    <t>3.51</t>
  </si>
  <si>
    <t>1418020100200000</t>
  </si>
  <si>
    <t>ขอยึดกระเบื้อง   ขนาด 6"</t>
  </si>
  <si>
    <t>3.06</t>
  </si>
  <si>
    <t>1418020100300000</t>
  </si>
  <si>
    <t>ขอยึดกระเบื้อง    ขนาด 8"</t>
  </si>
  <si>
    <t>3.04</t>
  </si>
  <si>
    <t>1419040101300000</t>
  </si>
  <si>
    <t>บานพับเหล็ก  มีไนล่อนคั่นระหว่างข้อ  หนา 2 มม. ขนาด 4 x 3 นิ้ว</t>
  </si>
  <si>
    <t>37.38</t>
  </si>
  <si>
    <t>1419050100400000</t>
  </si>
  <si>
    <t>กลอนอลูมิเนียม  ขนาด  6 นิ้ว</t>
  </si>
  <si>
    <t>55.14</t>
  </si>
  <si>
    <t>1419050100500000</t>
  </si>
  <si>
    <t>กลอนทองเหลือง   ขนาด  6  นิ้ว</t>
  </si>
  <si>
    <t>49.53</t>
  </si>
  <si>
    <t>1419050100800000</t>
  </si>
  <si>
    <t>กลอนทองเหลือง  ขนาด  6  นิ้ว  ตรา ช้าง</t>
  </si>
  <si>
    <t>183.18</t>
  </si>
  <si>
    <t>15</t>
  </si>
  <si>
    <t>วัสดุผลิตภัณฑ์</t>
  </si>
  <si>
    <t>1501030100600000</t>
  </si>
  <si>
    <t>ปูนซีเมนต์ปอร์ตแลนด์  ปูนถุง  ประเภท 1  บรรจุ  50 กก./ถุง  ตราช้าง</t>
  </si>
  <si>
    <t>ถุง</t>
  </si>
  <si>
    <t>104.67</t>
  </si>
  <si>
    <t>1501030200100000</t>
  </si>
  <si>
    <t>ปูนซีเมนต์ไฮดรอลิก ปูนถุง บรรจุ 50 กก./ถุง ตราช้าง SCG สูตรไฮบริด</t>
  </si>
  <si>
    <t>2,922.12</t>
  </si>
  <si>
    <t>1501030200500000</t>
  </si>
  <si>
    <t>ปูนซีเมนต์ไฮดรอลิก ปูนถุง บรรจุ 50 กก./ถุง ตรา ทีพีไอ ปูนแดง 299</t>
  </si>
  <si>
    <t>1502030100100000</t>
  </si>
  <si>
    <t>ปูนซีเมนต์ผสม   ปูนถุง   บรรจุ  50 กก./ถุง  ตราเสือ</t>
  </si>
  <si>
    <t>3,084.11</t>
  </si>
  <si>
    <t>1502030100600000</t>
  </si>
  <si>
    <t>ปูนซีเมนต์ผสม    บรรจุ  50 กก./ถุง   ตราเสือ</t>
  </si>
  <si>
    <t>115.42</t>
  </si>
  <si>
    <t>1502030100700000</t>
  </si>
  <si>
    <t>ปูนซีเมนต์ผสม    บรรจุ  50 กก./ถุง   ตรานกอินทรี</t>
  </si>
  <si>
    <t>91.59</t>
  </si>
  <si>
    <t>1506010100500000</t>
  </si>
  <si>
    <t>ฟลิ้นโค้ท  เบอร์ 3   ขนาด  3.5  กก.   ตราเชลล์</t>
  </si>
  <si>
    <t>1506010100900000</t>
  </si>
  <si>
    <t>น้ำยาประสานท่อพีวีซี   ชนิดธรรมดา  ขนาด  250  กรัม  ตราท่อน้ำไทย</t>
  </si>
  <si>
    <t>112.15</t>
  </si>
  <si>
    <t>1506010102700000</t>
  </si>
  <si>
    <t>น้ำยาประสานท่อพีวีซี  ชนิดธรรมดา  ขนาด  250  กรัม  ตราช้าง</t>
  </si>
  <si>
    <t>129.91</t>
  </si>
  <si>
    <t>18</t>
  </si>
  <si>
    <t>วัสดุและอุปกรณ์งานประปา</t>
  </si>
  <si>
    <t>1808010100600000</t>
  </si>
  <si>
    <t>ก๊อกน้ำทองเหลือง  ขนาด  1/2  นิ้ว  ตราซันวา</t>
  </si>
  <si>
    <t>128.04</t>
  </si>
  <si>
    <t>1808020100300000</t>
  </si>
  <si>
    <t>ก๊อกน้ำบอลสนาม   ขนาด  1/2  นิ้ว  ตราซันวา</t>
  </si>
  <si>
    <t>126.17</t>
  </si>
  <si>
    <t>19</t>
  </si>
  <si>
    <t>วัสดุและอุปกรณ์งานสุขาภิบาล</t>
  </si>
  <si>
    <t>1903010100100000</t>
  </si>
  <si>
    <t>ฝาถังซีเมนต์สำเร็จรูป   ศก.  80  ซม.</t>
  </si>
  <si>
    <t>20</t>
  </si>
  <si>
    <t>วัสดุและอุปกรณ์งานไฟฟ้า</t>
  </si>
  <si>
    <t>2001010100500000</t>
  </si>
  <si>
    <t>สายไฟฟ้าเดินภายในอาคาร  VAF สายแบนแกนคู่    ขนาด  2 x 1.5  ตร.มม.  ยาว  100  ม.</t>
  </si>
  <si>
    <t>ม้วน</t>
  </si>
  <si>
    <t>817.76</t>
  </si>
  <si>
    <t>2001010100600000</t>
  </si>
  <si>
    <t>สายไฟฟ้าเดินภายในอาคาร  VAF สายแบนแกนคู่    ขนาด  2 x 2.5  ตร.มม.  ยาว  100  ม.</t>
  </si>
  <si>
    <t>1,285.05</t>
  </si>
  <si>
    <t>2006010100600000</t>
  </si>
  <si>
    <t>สวิตซ์ไฟฟ้าทางเดียว แบบฝังในผนัง  ตราพานาโซนิค</t>
  </si>
  <si>
    <t>29.91</t>
  </si>
  <si>
    <t>2006030101000000</t>
  </si>
  <si>
    <t>เต้ารับ (เดี่ยว)  แบบฝังในผนัง  ตราพานาโซนิค</t>
  </si>
  <si>
    <t>33.18</t>
  </si>
  <si>
    <t>2006030101100000</t>
  </si>
  <si>
    <t>เต้าเสียบ  แบบ 2 ขา  ตราพานาโซนิค</t>
  </si>
  <si>
    <t>37.85</t>
  </si>
  <si>
    <t>2006040100100000</t>
  </si>
  <si>
    <t>บัลลาสต์  36/40  วัตต์   ตราฟิลิปส์</t>
  </si>
  <si>
    <t>95.33</t>
  </si>
  <si>
    <t>2006040100600000</t>
  </si>
  <si>
    <t>บัลลาสต์  36/40  วัตต์   ตราพานาโซนิค</t>
  </si>
  <si>
    <t>2006050100100000</t>
  </si>
  <si>
    <t>สตาร์ทเตอร์   ขนาด 4-65  วัตต์     ตราฟิลิปส์</t>
  </si>
  <si>
    <t>13.09</t>
  </si>
  <si>
    <t>2006060100100000</t>
  </si>
  <si>
    <t>หลอดไฟฟ้าฟลูออเรสเซนต์   แบบยาว  ขนาด 36 วัตต์   ตราฟิลิปส์</t>
  </si>
  <si>
    <t>หลอด</t>
  </si>
  <si>
    <t>47.67</t>
  </si>
  <si>
    <t>2006060100200000</t>
  </si>
  <si>
    <t>หลอดไฟฟ้าฟลูออเรสเซนต์   แบบยาว  ขนาด 36 วัตต์   ตราโตชิบา</t>
  </si>
  <si>
    <t>2006060200100000</t>
  </si>
  <si>
    <t>หลอดไฟฟ้า   แบบเกลียว  ขนาด 60 วัตต์   ตราฟิลิปส์</t>
  </si>
  <si>
    <t>ดวง</t>
  </si>
  <si>
    <t>18.23</t>
  </si>
  <si>
    <t>2006060200200000</t>
  </si>
  <si>
    <t>หลอดไฟฟ้า   แบบเกลียว  ขนาด 60 วัตต์   ตราซุบเปอร์แลมป์</t>
  </si>
  <si>
    <t>21</t>
  </si>
  <si>
    <t>เครื่องสุขภัณฑ์</t>
  </si>
  <si>
    <t>2101010100100000</t>
  </si>
  <si>
    <t>โถส้วมธรรมดานั่งยอง  ไม่มีฐาน   แบบราดน้ำ  เคลือบขาว    ตราอเมริกันแสตนดาร์ด  รุ่น TF-100</t>
  </si>
  <si>
    <t>570.10</t>
  </si>
  <si>
    <t>2102010100100000</t>
  </si>
  <si>
    <t>ที่ปัสสาวะเซรามิกชาย  ชนิดแขวนผนัง   เคลือบขาว   ตราอเมริกันแสตนดาร์ด    รุ่น TF- 412</t>
  </si>
  <si>
    <t>859.81</t>
  </si>
  <si>
    <t>2103010100100000</t>
  </si>
  <si>
    <t>อ่างล้างหน้าเซรามิก   ชนิดแขวนผนัง   เคลือบขาว     ตราอเมริกันแสตนดาร์ด  รุ่น TF- 911</t>
  </si>
  <si>
    <t>551.41</t>
  </si>
  <si>
    <t>2105010100100000</t>
  </si>
  <si>
    <t>ที่วางสบู่เซรามิก  ชนิดฝังผนัง   เคลือบขาว    ตราอเมริกันแสตนดาร์ด   รุ่น TF- 9000</t>
  </si>
  <si>
    <t>233.64</t>
  </si>
  <si>
    <t>2106010100100000</t>
  </si>
  <si>
    <t>ที่ใส่กระดาษชำระเซรามิก  ชนิดฝังผนัง  เคลือบขาว   ตราอเมริกันแสตนดาร์ด  รุ่น TF- 9002</t>
  </si>
  <si>
    <t>หลักเกณฑ์การประเมินราคางานต้นทุนต่อหน่วย</t>
  </si>
  <si>
    <t>ในงานก่อสร้างชลประทาน</t>
  </si>
  <si>
    <t>งานถางป่า</t>
  </si>
  <si>
    <t>งานถากถาง</t>
  </si>
  <si>
    <t xml:space="preserve"> - ค่าดำเนินการ</t>
  </si>
  <si>
    <t>=</t>
  </si>
  <si>
    <t>บาท/ตร.ม.</t>
  </si>
  <si>
    <t>รวมทั้งสิ้น</t>
  </si>
  <si>
    <t>งานถากถางและล้มต้นไม้</t>
  </si>
  <si>
    <t>งานขุดเปิดหน้าดิน</t>
  </si>
  <si>
    <t xml:space="preserve"> - ค่าขุดเปิดหน้าดิน</t>
  </si>
  <si>
    <t>บาท/ลบ.ม.</t>
  </si>
  <si>
    <t>(1)</t>
  </si>
  <si>
    <t xml:space="preserve"> - ค่าตักดิน</t>
  </si>
  <si>
    <t>(หลวม)</t>
  </si>
  <si>
    <t>(2)</t>
  </si>
  <si>
    <t xml:space="preserve"> - ค่าขนส่ง</t>
  </si>
  <si>
    <t>กม.</t>
  </si>
  <si>
    <t>(3)</t>
  </si>
  <si>
    <t>รถบรรทุก 10 ล้อ</t>
  </si>
  <si>
    <t>รวม (2) + (3)</t>
  </si>
  <si>
    <t>(4)</t>
  </si>
  <si>
    <t xml:space="preserve"> - รวมส่วนขยายตัว </t>
  </si>
  <si>
    <t>x ค่าขยายตัว</t>
  </si>
  <si>
    <t>(5)</t>
  </si>
  <si>
    <t>รวมทั้งสิ้น (1) + (5)</t>
  </si>
  <si>
    <t>งานดินขุด</t>
  </si>
  <si>
    <t>งานดินขุดด้วยแรงคน</t>
  </si>
  <si>
    <t xml:space="preserve"> - ค่าขุดดินด้วยแรงคน (1/2 x อัตราค่าจ้างแรงงานขั้นต่ำ)</t>
  </si>
  <si>
    <t xml:space="preserve"> 1/2 x</t>
  </si>
  <si>
    <t>หมายเหตุ :</t>
  </si>
  <si>
    <t>อัตราค่าจ้างแรงงานขั้นต่ำ ให้ใช้ตามประกาศกระทรวงแรงงานฯ โดยเลือกใช้ตามจังหวัดที่สถานที่ก่อสร้างตั้งอยู่</t>
  </si>
  <si>
    <t xml:space="preserve"> - ค่าขุดดินด้วยเครื่องจักร</t>
  </si>
  <si>
    <t>รวมทั้งสิ้น (1) + (3)</t>
  </si>
  <si>
    <t>งานดินขุดยาก</t>
  </si>
  <si>
    <t xml:space="preserve"> - ค่าขุด</t>
  </si>
  <si>
    <t xml:space="preserve"> - ค่าดันและตัก</t>
  </si>
  <si>
    <t>รวมทั้งสิ้น (2) + (3)</t>
  </si>
  <si>
    <t>งานขุดลอก</t>
  </si>
  <si>
    <t>งานขุดลอกด้วยรถขุด</t>
  </si>
  <si>
    <t>งานขุดลอกด้วยเรือขุด</t>
  </si>
  <si>
    <t>งานกำจัดวัชพืชด้วยเรือ</t>
  </si>
  <si>
    <t>บาท/ตัน</t>
  </si>
  <si>
    <t>งานระเบิดหิน</t>
  </si>
  <si>
    <t>งานระเบิดหินพื้นคลองกว้าง 3.00 เมตรขึ้นไป ความลึกที่ระเบิดน้อยกว่า 2.00 เมตร</t>
  </si>
  <si>
    <t xml:space="preserve"> - ค่าระเบิดหิน</t>
  </si>
  <si>
    <t>งานระเบิดหินพื้นคลองกว้าง 3.00 เมตรขึ้นไป ความลึกที่ระเบิดมากกว่า 2.00-3.50 เมตร</t>
  </si>
  <si>
    <t>งานระเบิดหินพื้นคลองกว้าง 3.00 เมตรขึ้นไป ความลึกที่ระเบิดมากกว่า 3.50 เมตร</t>
  </si>
  <si>
    <t>งานระเบิดหินเป็นคลอง พื้นคลองกว้างน้อยกว่า 3.00 เมตร ความลึกที่ระเบิดน้อยกว่า 2.00 เมตร</t>
  </si>
  <si>
    <t>งานระเบิดหินเป็นคลอง พื้นคลองกว้างน้อยกว่า 3.00 เมตร ความลึกที่ระเบิดมากกว่า 2.00-3.50 เมตร</t>
  </si>
  <si>
    <t>งานระเบิดหินเป็นคลอง พื้นคลองกว้างน้อยกว่า 3.00 เมตร ความลึกที่ระเบิดมากกว่า 3.50 เมตร</t>
  </si>
  <si>
    <t>งานดินถม</t>
  </si>
  <si>
    <t>งานดินถมบดอัดแน่นด้วยแรงคน</t>
  </si>
  <si>
    <t xml:space="preserve"> - ค่าถมดินบดอัดแน่นด้วยแรงคน (1 x อัตราค่าจ้างแรงงานขั้นต่ำ)</t>
  </si>
  <si>
    <t xml:space="preserve"> 1 x</t>
  </si>
  <si>
    <t>1. อัตราค่าจ้างแรงงานขั้นต่ำ ให้ใช้ตามประกาศกระทรวงแรงงานฯ โดยเลือกใช้ตามจังหวัดที่สถานที่ก่อสร้างตั้งอยู่</t>
  </si>
  <si>
    <t>2. ค่าดินถมบดอัดแน่นด้วยแรงคน ยังมิได้รวมค่าใช้จ่ายในการจัดหาดิน หากจำเป็นต้องจัดหาดินเพื่อใช้ในการถมบดอัดแน่นแล้ว</t>
  </si>
  <si>
    <t xml:space="preserve">   ให้พิจารณาค่าใช้จ่ายในการจัดหาดินตามหลักเกณฑ์ฯ ที่ระบุไว้ในหมายเหตุของงานดินถมบดอัดแน่นด้วยเครื่องจักร</t>
  </si>
  <si>
    <t>งานดินถมบดอัดแน่นด้วยเครื่องจักรเบา</t>
  </si>
  <si>
    <t>งานดินถมบดอัดแน่นด้วยเครื่องจักร</t>
  </si>
  <si>
    <t>7.3(1) งานดินถมบดอัดแน่นด้วยเครื่องจักร (งานทั่วไป 85%)</t>
  </si>
  <si>
    <t>ค่าใช้จ่ายในการจัดหาดิน ให้พิจารณาเปรียบเทียบและเลือกใช้ราคาที่ต่ำสุดจาก</t>
  </si>
  <si>
    <t>ราคาจากสำนักนโยบายและยุทธศาสตร์การค้า กระทรวงพาณิชย์นำมารวมค่าขนส่งจาก อ.เมือง ถึงสถานที่ก่อสร้าง</t>
  </si>
  <si>
    <t xml:space="preserve"> - ค่าดินถม</t>
  </si>
  <si>
    <t>ค่าใช้จ่ายในการจัดหาดินรวม (1) + (2)</t>
  </si>
  <si>
    <t>สืบราคาจากแหล่งซึ่งเป็นราคาที่รวมขนส่งถึงสถานที่ก่อสร้าง</t>
  </si>
  <si>
    <t xml:space="preserve"> - ค่าดินที่แหล่งรวมค่าขนส่งถึงสถานที่ก่อสร้าง</t>
  </si>
  <si>
    <t>บ่อยืมดินคิดคำนวณโดยมีหลักเกณฑ์ ดังนี้</t>
  </si>
  <si>
    <t xml:space="preserve"> - ที่ดินที่แหล่ง</t>
  </si>
  <si>
    <t>(1600x3) x 1.25</t>
  </si>
  <si>
    <t xml:space="preserve"> - ค่าขุดเปิดหน้าบ่อยืมดิน</t>
  </si>
  <si>
    <t>(0.30 x ค่าขุดเปิดหน้าดิน)</t>
  </si>
  <si>
    <t>(3 x 1.25)</t>
  </si>
  <si>
    <t xml:space="preserve"> - ค่าดินขุดด้วยเครื่องจักร</t>
  </si>
  <si>
    <t xml:space="preserve"> - ค่าขยายตัว</t>
  </si>
  <si>
    <t xml:space="preserve"> - ค่าขุดดินด้วยเครื่องจักร/ค่าขยายตัว ((3)/(4))</t>
  </si>
  <si>
    <t>ค่าใช้จ่ายในการจัดหาดินรวม (1) + (2) + (5) + (6)</t>
  </si>
  <si>
    <t>สูตรการคำนวณ</t>
  </si>
  <si>
    <t xml:space="preserve"> - ค่าใช้จ่ายในการจัดหาดิน</t>
  </si>
  <si>
    <t xml:space="preserve"> - รวมส่วนยุบตัว</t>
  </si>
  <si>
    <t>x ค่ายุบตัว</t>
  </si>
  <si>
    <t xml:space="preserve"> - ค่าบดทับ</t>
  </si>
  <si>
    <t>* ราคาที่ดิน เป็นราคาประเมินในการจดทะเบียนนิติกรรมจากกรมที่ดิน ในการคำนวณราคาที่ดินคิดเพียงครึ่งหนึ่ง</t>
  </si>
  <si>
    <t>** ในการคำนวณคิดขุดเปิดหน้าดินความลึกเฉลี่ย 0.30 เมตร ความลึกในการขุดดินเฉลี่ย 3.00 เมตร</t>
  </si>
  <si>
    <t>7.3(2) งานดินถมบดอัดแน่นด้วยเครื่องจักร (งานทั่วไป 95%)</t>
  </si>
  <si>
    <t>[ราคาที่ดิน (บาท/ไร่) x (1/2)]</t>
  </si>
  <si>
    <t xml:space="preserve"> - ค่าดินขุดด้วยเครื่องจักร/ค่าขยายตัว</t>
  </si>
  <si>
    <t>ค่าใช้จ่ายในการจัดหาดินรวม (1) + (2) + (3) + (4)</t>
  </si>
  <si>
    <t>7.3(3) งานดินถมบดอัดแน่นด้วยเครื่องจักร (งานเขื่อน 95%)</t>
  </si>
  <si>
    <t>7.3(4) งานดินถมบดอัดแน่นด้วยเครื่องจักร (งานเขื่อน 98%)</t>
  </si>
  <si>
    <t>งานลูกรังบดอัดแน่น</t>
  </si>
  <si>
    <t>ราคาวัสดุจากแหล่ง เป็นราคาที่ได้รวมค่าขุดเปิดหน้าบ่อลูกรัง ค่าขุด ค่าขนส่งไว้แล้ว</t>
  </si>
  <si>
    <t>สำหรับค่าขุดเปิดหน้าบ่อลูกรัง ให้คิดคำนวณโดยมีหลักเกณฑ์ ดังนี้</t>
  </si>
  <si>
    <t xml:space="preserve"> - ค่าขุดเปิดหน้าบ่อลูกรัง</t>
  </si>
  <si>
    <t>(1.00 x ค่าขุดเปิดหน้าดิน)</t>
  </si>
  <si>
    <t>(2.50 x 1.25)</t>
  </si>
  <si>
    <t xml:space="preserve"> - ค่าวัสดุจากแหล่ง</t>
  </si>
  <si>
    <t>รวม (1) + (2) + (3) + (4)</t>
  </si>
  <si>
    <t xml:space="preserve">รวม (6) + (7) </t>
  </si>
  <si>
    <t>งานคอนกรีตเสริมเหล็ก</t>
  </si>
  <si>
    <t>งานคอนกรีตโครงสร้าง fc' 280 ksc</t>
  </si>
  <si>
    <t xml:space="preserve"> - ราคาคอนกรีต</t>
  </si>
  <si>
    <t>(จากตารางคำนวณอัตราราคางานคอนกรีตและหิน)</t>
  </si>
  <si>
    <t>ปริมาณคอนกรีต</t>
  </si>
  <si>
    <t>(จาก sheet ปร.2)</t>
  </si>
  <si>
    <t xml:space="preserve"> - ค่างานไม้แบบ</t>
  </si>
  <si>
    <t>พท.ไม้แบบ</t>
  </si>
  <si>
    <t xml:space="preserve"> * ค่าแรงต่อรื้อแบบ</t>
  </si>
  <si>
    <t>(พ.ท.ไม้แบบ (ตร.ม.) x อัตราราคาค่าต่อรื้อแบบ)</t>
  </si>
  <si>
    <t>* ค่าแรงต่อรื้อแบบ =</t>
  </si>
  <si>
    <t>บาท</t>
  </si>
  <si>
    <t>(แบบเปลือยผิว)</t>
  </si>
  <si>
    <t>ไม้ยางแปรรูป (ขนาด 1 1/2"x3"x3.5-4 ม.)</t>
  </si>
  <si>
    <t>ไม้กระบาก (ขนาด 1"x6"-8"x4 ม.)</t>
  </si>
  <si>
    <t>ราคาเฉลี่ยไม้แบบ</t>
  </si>
  <si>
    <t>ค่าไม้แบบ</t>
  </si>
  <si>
    <t>(พ.ท.ไม้แบบ (ตร.ม.) x 0.06/2) x (ราคาไม้แบบต่อ ลบ.ม.)</t>
  </si>
  <si>
    <t>รวม</t>
  </si>
  <si>
    <t>[(2) + (3)]/ปริมาตรคอนกรีตของโครงสร้างแต่ละแห่ง</t>
  </si>
  <si>
    <t xml:space="preserve">รวม (1) + (4) </t>
  </si>
  <si>
    <t>งานคอนกรีตโครงสร้าง fc' 210 ksc</t>
  </si>
  <si>
    <t>ค่าเหล็กเสริมคอนกรีตรวมค่าขนส่งถึงสถานที่ก่อสร้าง</t>
  </si>
  <si>
    <t xml:space="preserve"> - เฉลี่ยค่าเหล็กเสริมคอนกรีต</t>
  </si>
  <si>
    <t>บาท/กก.</t>
  </si>
  <si>
    <t xml:space="preserve"> - ค่าเผื่อตัดเศษและสูญเสีย</t>
  </si>
  <si>
    <t xml:space="preserve"> = (ค่าเหล็กเสริมคอนกรีต) x 0.10</t>
  </si>
  <si>
    <t xml:space="preserve"> - ค่าแรงดัดผูกเหล็ก รวมอุปกรณ์</t>
  </si>
  <si>
    <t xml:space="preserve">รวม (1) + (2) + (3) </t>
  </si>
  <si>
    <t>1. ค่าเหล็กใช้ราคาตามข้อกำหนดเกี่ยวกับราคาและแหล่งวัสดุก่อสร้าง ในส่วนของแนวทาง วิธีปฎิบัติ</t>
  </si>
  <si>
    <t xml:space="preserve">   และรายละเอียดประกอบการคำนวณราคากลางงานก่อสร้าง โดยใช้ราคาเฉลี่ยของเหล็กเส้นกลมผิวเรียบ SR.24</t>
  </si>
  <si>
    <t xml:space="preserve">   ขนาด 6 และ 9 มม. และเหล็กข้ออ้อย SD.30 ขนาด 12, 16, 20 และ 25 มม. รวมค่าขนส่งถึงสถานที่ก่อสร้าง</t>
  </si>
  <si>
    <t xml:space="preserve"> 2. ค่าแรงดัดผูกเหล็กรวมอุปกรณ์ใช้ราคา</t>
  </si>
  <si>
    <t>งานคอนกรีตหยาบ</t>
  </si>
  <si>
    <t xml:space="preserve"> - ราคาคอนกรีตหยาบ</t>
  </si>
  <si>
    <t xml:space="preserve"> - ค่าแรงเทคอนกรีต</t>
  </si>
  <si>
    <t>งานคอนกรีตดาด</t>
  </si>
  <si>
    <t>งานคอนกรีตดาด หนา</t>
  </si>
  <si>
    <t>(3 ซม. 5 ซม. 8 ซม. 10 ซม.)</t>
  </si>
  <si>
    <t xml:space="preserve"> - ราคาคอนกรีตดาด</t>
  </si>
  <si>
    <t>คิดปริมาณที่</t>
  </si>
  <si>
    <t>ความยาว</t>
  </si>
  <si>
    <t xml:space="preserve">  ค่าคอนกรีตดาดที่ใช้</t>
  </si>
  <si>
    <t>x ความหนา (ม.)</t>
  </si>
  <si>
    <t>กว้าง</t>
  </si>
  <si>
    <t xml:space="preserve"> - ค่าแต่งผิวหน้าคอนกรีตดาด</t>
  </si>
  <si>
    <t>คอนกรีตดาด</t>
  </si>
  <si>
    <t>* ค่าแรงต่อรื้อแบบ</t>
  </si>
  <si>
    <t>รวมเฉลี่ยไม้แบบ</t>
  </si>
  <si>
    <t>* ค่าไม้แบบ</t>
  </si>
  <si>
    <t>(พ.ท.ไม้แบบ (ตร.ม.) x 0.06/4) x (ราคาไม้แบบต่อ ลบ.ม.)</t>
  </si>
  <si>
    <t>[(4)+(5)]/ปริมาณงานคอนกรีตดาดทั้งหมด (ตร.ม.)</t>
  </si>
  <si>
    <t>รวมทั้งสิ้น (2) + (3) + (6)</t>
  </si>
  <si>
    <t xml:space="preserve"> - * ในการคำนวณค่าใช้จ่ายสำหรับไม้แบบนั้น ให้ใช้หลักเกณฑ์ตามหมายเหตุข้อ 1 ในข้อ 9.1 ยกเว้นอายุการใช้งานของไม้แบบ</t>
  </si>
  <si>
    <t xml:space="preserve">    สำหรับงานคอนกรีตดาดให้ใช้ 4 ครั้ง</t>
  </si>
  <si>
    <t xml:space="preserve"> - ค่าแต่งผิวหน้าคอนกรีตดาดใช้ราคา </t>
  </si>
  <si>
    <t xml:space="preserve"> บาท/ตร.ม.</t>
  </si>
  <si>
    <t>งานคอนกรีตล้วนปนหินใหญ่</t>
  </si>
  <si>
    <t xml:space="preserve"> - ราคาคอนกรีตล้วนปนหินใหญ่</t>
  </si>
  <si>
    <t xml:space="preserve"> - ค่าไม้แบบ</t>
  </si>
  <si>
    <t>(พ.ท.ไม้แบบ (ตร.ม.)x0.06/2)x(ราคาไม้แบบต่อลบ.ม.)</t>
  </si>
  <si>
    <t>[(2)+(3)]/ปริมาตรคอนกรีตล้วนปนหินใหญ่ทั้งหมด</t>
  </si>
  <si>
    <t>รวมทั้งสิ้น (1) + (4)</t>
  </si>
  <si>
    <t>* ในการคำนวณค่าใช้จ่ายสำหรับไม้แบบนั้น ใช้หลักเกณฑ์ตามหมายเหตุข้อ 1 ในข้อ 9.1</t>
  </si>
  <si>
    <t>งานป้องกันการกัดเซาะ</t>
  </si>
  <si>
    <t>งานหินเรียง</t>
  </si>
  <si>
    <t>หนา</t>
  </si>
  <si>
    <t xml:space="preserve"> - ราคางานหินเรียง</t>
  </si>
  <si>
    <t xml:space="preserve">รวมทั้งสิ้น </t>
  </si>
  <si>
    <t>งานหินเรียงยาแนว หนา</t>
  </si>
  <si>
    <t xml:space="preserve"> - ราคางานหินเรียงยาแนว</t>
  </si>
  <si>
    <t>งานหินก่อ</t>
  </si>
  <si>
    <t xml:space="preserve"> - ราคางานหินก่อ</t>
  </si>
  <si>
    <t>งานหินทิ้ง หนา</t>
  </si>
  <si>
    <t xml:space="preserve"> - ราคางานหินทิ้ง</t>
  </si>
  <si>
    <t>งาน Rockfill Toe</t>
  </si>
  <si>
    <t xml:space="preserve"> - ราคางาน Rockfill Toe</t>
  </si>
  <si>
    <t>จากตารางคำนวณอัตราราคางานคอนกรีตและหิน โดยใช้ราคาเช่นเดียวกับงานหินทิ้ง)</t>
  </si>
  <si>
    <t>งานวัสดุรองพื้น หนา</t>
  </si>
  <si>
    <t xml:space="preserve"> - ค่ากรวดหรือหินรวมค่าขนส่งถึงสถานที่ก่อสร้าง</t>
  </si>
  <si>
    <t>บาท/ลบ.ม. (หลวม)</t>
  </si>
  <si>
    <t xml:space="preserve">   สัดส่วนวัสดุที่ใช้</t>
  </si>
  <si>
    <t>x</t>
  </si>
  <si>
    <t xml:space="preserve"> - ค่าทรายรวมค่าขนส่งถึงสถานที่ก่อสร้าง</t>
  </si>
  <si>
    <t xml:space="preserve"> - ค่าผสม</t>
  </si>
  <si>
    <t xml:space="preserve"> - ค่าตัก</t>
  </si>
  <si>
    <t>รวม (6) + (7)</t>
  </si>
  <si>
    <t>x 1.4 (ค่ายุบตัว)</t>
  </si>
  <si>
    <t>รวมทั้งสิ้น (2) + (4) + (5) + (9) + (10)</t>
  </si>
  <si>
    <t>ค่าผสม ใช้อัตราราคาค่าผสมหินคลุก</t>
  </si>
  <si>
    <t>ค่าตัก ใช้อัตราราคาค่าตักดิน</t>
  </si>
  <si>
    <t>ค่าบดทับ ใช้อัตราราคาค่าบดทับงานดินที่ความแน่น 85%</t>
  </si>
  <si>
    <t>สัดส่วนวัสดุที่ใช้ต่อปริมาตร 1 ลบ.ม. ดังต่อไปนี้</t>
  </si>
  <si>
    <t>1)</t>
  </si>
  <si>
    <t>กรวด + ทราย ขนาดใหญ่สุดของกรวด = 2 นิ้ว</t>
  </si>
  <si>
    <t>ปริมาณกรวด (ลบ.ม.)</t>
  </si>
  <si>
    <t xml:space="preserve"> - ตามผลการทดลอง</t>
  </si>
  <si>
    <t xml:space="preserve"> - เผื่อสูญเสีย 15%</t>
  </si>
  <si>
    <t>ขอใช้ (*)</t>
  </si>
  <si>
    <t>ปริมาณทราย (ลบ.ม.)</t>
  </si>
  <si>
    <t xml:space="preserve"> - เผื่อสูญเสียในสนาม 20%</t>
  </si>
  <si>
    <t>ขอใช้ (**)</t>
  </si>
  <si>
    <t>2)</t>
  </si>
  <si>
    <t>กรวด + ทราย ขนาดใหญ่สุดของกรวด = 1 1/2 นิ้ว</t>
  </si>
  <si>
    <t>3)</t>
  </si>
  <si>
    <t>หิน + ทราย ขนาดใหญ่สุดของหิน = 1 1/2 นิ้ว (หิน # 2)</t>
  </si>
  <si>
    <t>ปริมาณหิน (ลบ.ม.)</t>
  </si>
  <si>
    <t>ชั้นคุณภาพ</t>
  </si>
  <si>
    <t>ขนาดท่อ</t>
  </si>
  <si>
    <t>ความหนา</t>
  </si>
  <si>
    <t>มิติต่างของปากท่อ (มม.)</t>
  </si>
  <si>
    <t>ตารางที่ 2 แสดงขนาดและมิติการวางท่อระบายน้ำ คสล.</t>
  </si>
  <si>
    <t>ตารางที่ 3 พื้นที่ของงานคอล่าท่อคอนกรีต (ในCAD)</t>
  </si>
  <si>
    <t>งานท่อทั่วไป</t>
  </si>
  <si>
    <t>(คิดที่ความยาว</t>
  </si>
  <si>
    <t>ม.)</t>
  </si>
  <si>
    <t>งานท่อ PVC, AC, HDPE, PE งานท่อเหล็กเหนียว งานท่อเหล็กหล่อ งานท่อเหล็ก งานท่อเหล็กอาบสังกะสีและท่ออื่นๆ</t>
  </si>
  <si>
    <t>15.6.1</t>
  </si>
  <si>
    <t>งานท่อ PVC ขนาด Ø 2 นิ้ว Class 5</t>
  </si>
  <si>
    <t xml:space="preserve"> - ค่าท่อพร้อมอุปกรณ์รวมค่าขนส่งถึงสถานที่ก่อสร้าง</t>
  </si>
  <si>
    <t xml:space="preserve"> - ค่าแรงงานประกอบติดตั้งรวมค่าทดสอบ</t>
  </si>
  <si>
    <t xml:space="preserve">x </t>
  </si>
  <si>
    <t>รวมทั้งสิ้น =</t>
  </si>
  <si>
    <t>[(1) + (2)] / ความยาวท่อที่ใช้งาน</t>
  </si>
  <si>
    <t>บาท/เมตร</t>
  </si>
  <si>
    <t>งานท่อ PVC ขนาด Ø 4 นิ้ว Class 8.5</t>
  </si>
  <si>
    <t>15.6.2</t>
  </si>
  <si>
    <t>งานท่อ PVC ขนาด Ø 5 นิ้ว Class 8.5</t>
  </si>
  <si>
    <t>15.6.3</t>
  </si>
  <si>
    <t>งานท่อ PVC ขนาด Ø 6 นิ้ว Class 8.5</t>
  </si>
  <si>
    <t>15.6.4</t>
  </si>
  <si>
    <t>งานท่อ PVC ขนาด Ø 8 นิ้ว Class 8.5</t>
  </si>
  <si>
    <t>15.6.5</t>
  </si>
  <si>
    <t>งานท่อ PVC ขนาด Ø 10 นิ้ว Class 8.5</t>
  </si>
  <si>
    <t>15.6.6</t>
  </si>
  <si>
    <t>งานท่อ PVC ขนาด Ø 12 นิ้ว Class 8.5</t>
  </si>
  <si>
    <t>15.6.7</t>
  </si>
  <si>
    <t>งานท่อ PVC ขนาด Ø 14 นิ้ว Class 8.5</t>
  </si>
  <si>
    <t>15.6.8</t>
  </si>
  <si>
    <t>งานท่อ PVC ขนาด Ø 16 นิ้ว Class 8.5</t>
  </si>
  <si>
    <t>15.6.9</t>
  </si>
  <si>
    <t>งานท่อ PVC ขนาด Ø 18 นิ้ว Class 8.5</t>
  </si>
  <si>
    <t>15.6.10</t>
  </si>
  <si>
    <t>งานท่อ PVC ขนาด Ø 20 นิ้ว Class 8.5</t>
  </si>
  <si>
    <t>15.6.11</t>
  </si>
  <si>
    <t>งานท่อ PVC ขนาด Ø 24 นิ้ว Class 8.5</t>
  </si>
  <si>
    <t>15.6.12</t>
  </si>
  <si>
    <t>งานท่อ PVC ขนาด Ø 4 นิ้ว Class 13.5</t>
  </si>
  <si>
    <t>15.6.13</t>
  </si>
  <si>
    <t>งานท่อ PVC ขนาด Ø 5 นิ้ว Class 13.5</t>
  </si>
  <si>
    <t>15.6.14</t>
  </si>
  <si>
    <t>งานท่อ PVC ขนาด Ø 6 นิ้ว Class 13.5</t>
  </si>
  <si>
    <t>15.6.15</t>
  </si>
  <si>
    <t>งานท่อ PVC ขนาด Ø 8 นิ้ว Class 13.5</t>
  </si>
  <si>
    <t>15.6.16</t>
  </si>
  <si>
    <t>งานท่อ PVC ขนาด Ø 10 นิ้ว Class 13.5</t>
  </si>
  <si>
    <t>15.6.17</t>
  </si>
  <si>
    <t>งานท่อ PVC ขนาด Ø 12 นิ้ว Class 13.5</t>
  </si>
  <si>
    <t>15.6.18</t>
  </si>
  <si>
    <t>งานท่อ PVC ขนาด Ø 14 นิ้ว Class 13.5</t>
  </si>
  <si>
    <t>15.6.19</t>
  </si>
  <si>
    <t>งานท่อ PVC ขนาด Ø 16 นิ้ว Class 13.5</t>
  </si>
  <si>
    <t>15.6.20</t>
  </si>
  <si>
    <t>งานท่อ PVC ขนาด Ø 18 นิ้ว Class 13.5</t>
  </si>
  <si>
    <t>15.6.21</t>
  </si>
  <si>
    <t>งานท่อ PVC ขนาด Ø 20 นิ้ว Class 13.5</t>
  </si>
  <si>
    <t>15.6.22</t>
  </si>
  <si>
    <t>งานท่อ PVC ขนาด Ø 24 นิ้ว Class 13.5</t>
  </si>
  <si>
    <t xml:space="preserve"> - ค่าท่อพร้อมอุปกรณ์รวมค่าขนส่งถึงสถานที่ก่อสร้างใช้ราคาตามข้อกำหนดเกี่ยวกับราคาและแหล่งวัสดุก่อสร้าง</t>
  </si>
  <si>
    <t xml:space="preserve">   ในส่วนของแนวทาง วิธีปฏิบัติ และรายละเอียดประกอบการคำนวณราคากลางงานก่อสร้าง</t>
  </si>
  <si>
    <t xml:space="preserve"> - ค่าแรงงานประกอบติดตั้งรวมค่าทดสอบ คิด 15% ของราคาวัสดุ</t>
  </si>
  <si>
    <t>งานรอยต่อคอนกรีต</t>
  </si>
  <si>
    <t xml:space="preserve">(ได้แก่ งาน Joint Selant Compound, งาน Coated Paper งานแผ่นใยสังเคราะห์ (TS-50)กรองน้ำ งาน Elastic Joint Filler </t>
  </si>
  <si>
    <t>งาน Sealing Compound งานแผ่น Plastic งาน Mastic Joint Filler งาน Celotex w/c Tar งาน Mastic Joint Sealer</t>
  </si>
  <si>
    <t>งาน Elastomatic Braeing Pad งาน Asphalt Paper งาน Water Stop และงานอื่นๆ)</t>
  </si>
  <si>
    <t xml:space="preserve"> - ค่าวัสุดรวมค่าขนส่งถึงสถานที่ก่อสร้าง</t>
  </si>
  <si>
    <t>บาท/หน่วย</t>
  </si>
  <si>
    <t xml:space="preserve"> - ค่าติดตั้ง</t>
  </si>
  <si>
    <t>ราคาวัสดุ x 0.15</t>
  </si>
  <si>
    <t>รวมทั้งสิ้น (1) + (2)</t>
  </si>
  <si>
    <t>รอยต่อสำหรับงานคลองส่งน้ำ</t>
  </si>
  <si>
    <t>16.1.1 Joint Selant Compound หนา......ซม.</t>
  </si>
  <si>
    <t>บาท/ลิตร</t>
  </si>
  <si>
    <t>รอยต่อสำหรับงานอาคารชลประทาน</t>
  </si>
  <si>
    <t>16.2.1 Elastic Joint Filler หนา 2.5 ซม.</t>
  </si>
  <si>
    <t>16.2.2 Sealing Compound หนา.....ซม.</t>
  </si>
  <si>
    <t>16.2.3 แผ่น Plastic HDPE หนา 1.0 ซม.</t>
  </si>
  <si>
    <t>16.2.4 แผ่นใยสังเคราะห์ (TS-50)กรองน้ำ หนา.....ซม.</t>
  </si>
  <si>
    <t>16.2.5 แผ่นใยสังเคราะห์ (TS-50)</t>
  </si>
  <si>
    <t>16.2.6 Sealing Compound (ชนิด Poly sulfhide) หนา.....ซม.</t>
  </si>
  <si>
    <t>16.2.7 Backing rods (หนา 20 มม.)</t>
  </si>
  <si>
    <t>บาท/ม.</t>
  </si>
  <si>
    <t>รอยต่อสำหรับงานถนนคอนกรีต</t>
  </si>
  <si>
    <t>16.3.1 Mastic Joint Filler กว้าง.....ซม. ลึก.....ซม.</t>
  </si>
  <si>
    <t>16.3.2 Mastic Joint Sealer กว้าง.....ซม. ลึก.....ซม.</t>
  </si>
  <si>
    <t>16.3.3 แผ่น Plastic หนา 0.07 ซม.</t>
  </si>
  <si>
    <t>16.3.4 Metal Cap</t>
  </si>
  <si>
    <t>บาท/ชุด</t>
  </si>
  <si>
    <t>รอยต่อสำหรับงานสะพาน</t>
  </si>
  <si>
    <t>16.4.2 Mastic Joint Sealer กว้าง.....ซม. ลึก.....ซม</t>
  </si>
  <si>
    <t>งาน Waterstop</t>
  </si>
  <si>
    <t>16.5.1 งาน Waterstop Type "A" (A8a 8 นิ้ว 3 ปุ่ม หนา 5.0 mm.)</t>
  </si>
  <si>
    <t>16.5.2 งาน Waterstop Type "A" (A6a 6 นิ้ว 3 ปุ่ม หนา 5.0 mm.)</t>
  </si>
  <si>
    <t>16.5.3 งาน Waterstop Type "B" (B8a 8 นิ้ว 2 ปุ่ม หนา 5.0 mm.)</t>
  </si>
  <si>
    <t>16.5.4 งาน Waterstop Type "C" (C8aT 8 นิ้ว 3 ปุ่ม หนา 5.0 mm.)</t>
  </si>
  <si>
    <t>16.5.5 งาน Swell waterstop (ยางบวมน้ำ)</t>
  </si>
  <si>
    <t xml:space="preserve"> - ค่าวัสุดรวมค่าขนส่งถึงสถานที่ก่อสร้าง (กาวทายาง)</t>
  </si>
  <si>
    <t>( 1 ขวด ทาได้ 1 กล่อง = 35 ม. )</t>
  </si>
  <si>
    <t>รวมทั้งสิ้น (1) + (2)+ (3)</t>
  </si>
  <si>
    <t xml:space="preserve"> - ค่าวัสดุ รวมค่าขนส่งถึงสถานที่ก่อสร้าง ใช้ราคาตามข้อกำหนดเกี่ยวกับราคาและแหล่งวัสดุก่อสร้างในส่วนของ</t>
  </si>
  <si>
    <t xml:space="preserve">   แนวทาง วิธีปฏิบัติ และรายละเอียดประกอบการคำนวณราคากลางงานก่อสร้าง</t>
  </si>
  <si>
    <t xml:space="preserve"> - ค่าติดตั้ง คิด 15% ของค่าวัสดุ</t>
  </si>
  <si>
    <t xml:space="preserve"> - หน่วยเป็นไปตามบัญชีแสดงรายการก่อสร้างสำหรับงานก่อสร้างชลประทาน</t>
  </si>
  <si>
    <t>(ราคาจากหนังสือหลักเกณฑ์คำนวณราคากลางงานก่อสร้างทาง สะพาน และท่อเหลี่ยม)</t>
  </si>
  <si>
    <t>Metal Cap</t>
  </si>
  <si>
    <t>ราคาชุดละ</t>
  </si>
  <si>
    <t>@</t>
  </si>
  <si>
    <t>บาท (ประมาณ)</t>
  </si>
  <si>
    <t>Joint Filler</t>
  </si>
  <si>
    <t>ราคา ตร.ม.ละ</t>
  </si>
  <si>
    <t>https://www.kohinter.com/product/58671-71691/%E0%B8%81%E0%B8%A3%E0%B8%B0%E0%B8%94%E0%B8%B2%E0%B8%A9%E0%B8%8A%E0%B8%B2%E0%B8%99%E0%B8%AD%E0%B9%89%E0%B8%AD%E0%B8%A2%E0%B8%8A%E0%B8%B8%E0%B8%9A%E0%B8%99%E0%B9%89%E0%B8%B3%E0%B8%A1%E0%B8%B1%E0%B8%99</t>
  </si>
  <si>
    <t>Joint Sealer</t>
  </si>
  <si>
    <t>ลิตรละ</t>
  </si>
  <si>
    <t>แผ่นพลาสติก</t>
  </si>
  <si>
    <t>เมตรละ</t>
  </si>
  <si>
    <t>กว้าง 1.2 ม.</t>
  </si>
  <si>
    <t>(ราคาวัสดุต่างๆ ให้ตรวจสอบในท้องตลาดก่อนประเมินราคา)</t>
  </si>
  <si>
    <t>(ราคาสืบจากเว็บไซด์)</t>
  </si>
  <si>
    <t>Joint Filler (หนา 10 มม.)</t>
  </si>
  <si>
    <t>Joint Filler (หนา 20 มม.)</t>
  </si>
  <si>
    <t>Joint Filler (หนา 25 มม.)</t>
  </si>
  <si>
    <t>Poly sulfhide</t>
  </si>
  <si>
    <t>Backing rods (หนา 10 มม.)</t>
  </si>
  <si>
    <t>(หนา 10 มม.)</t>
  </si>
  <si>
    <t>Backing rods (หนา 20 มม.)</t>
  </si>
  <si>
    <t>(หนา 20 มม.)</t>
  </si>
  <si>
    <t>งานลดแรงดันน้ำ</t>
  </si>
  <si>
    <t>งานจัดหาและติดตั้ง Flap ValvWeephole</t>
  </si>
  <si>
    <t xml:space="preserve"> - ค่าจัดหา Flap ValvWeephole</t>
  </si>
  <si>
    <t xml:space="preserve"> - ค่าติดตั้ง 15% ของราคาวัสดุ = ราคาวัสดุ x 0.15</t>
  </si>
  <si>
    <t>งานจัดหาและติดตั้ง Bottom Drain</t>
  </si>
  <si>
    <t xml:space="preserve"> - ค่าจัดหา Bottom Drain</t>
  </si>
  <si>
    <t>งานจัดหาและติดตั้ง Side Drain</t>
  </si>
  <si>
    <t xml:space="preserve"> - งานจัดหา Side Drain</t>
  </si>
  <si>
    <t xml:space="preserve"> - การคิดราคางานให้คิดอัตราราคางานตามหลักเกณฑ์ของงงานแต่ละรายการที่เกี่ยวข้อง</t>
  </si>
  <si>
    <t xml:space="preserve"> - ค่าติดตั้ง 15% ของราคาวัสดุ </t>
  </si>
  <si>
    <t>งานเสาเข็ม</t>
  </si>
  <si>
    <t>(งานเสาเข็ม คสล. งานเสาเข็มคอนกรีตอัดแรง งานเสาเข็มไม้ งานเสาเข็มพืดเหล็ก งานเสาเข็มเจาะระบบแห้ง งานเสาเข็มเจาะรบบเปียก ฯลฯ)</t>
  </si>
  <si>
    <t>งานเสาเข็ม.............................</t>
  </si>
  <si>
    <t>18.1.1</t>
  </si>
  <si>
    <t>งานเสาเข็มตอก</t>
  </si>
  <si>
    <t xml:space="preserve"> - เสาเข็มค.อ.ร. หน้าตัดสี่เหลี่ยมตัน ขนาด 0.18x0.18 ม. ความยาว</t>
  </si>
  <si>
    <t xml:space="preserve"> - ค่าเสาเข็มแต่ละประเภทรวมค่าขนส่งถึงสถานที่ก่อสร้าง</t>
  </si>
  <si>
    <t>บาท/ต้น</t>
  </si>
  <si>
    <t xml:space="preserve"> - ค่าตอกเสาเข็ม</t>
  </si>
  <si>
    <t>ค่าแรงตอก</t>
  </si>
  <si>
    <t xml:space="preserve"> - ค่าสกัดหัวเสาเข็ม</t>
  </si>
  <si>
    <t>ค่าแรงสกัดหัว</t>
  </si>
  <si>
    <t>รวมทั้งสิ้น (1)+(2)+(3)/ความยาวเสาเข็มที่ใช้งาน (ม.)</t>
  </si>
  <si>
    <t>รวมงานเสาเข็มต่อต้น</t>
  </si>
  <si>
    <t xml:space="preserve"> - เสาเข็มค.อ.ร. หน้าตัดสี่เหลี่ยมตัน ขนาด 0.20x0.20 ม. ความยาว</t>
  </si>
  <si>
    <t>(0.22x0.22)</t>
  </si>
  <si>
    <t xml:space="preserve"> - เสาเข็มค.อ.ร. หน้าตัดสี่เหลี่ยมตัน ขนาด 0.22x0.22 ม. ความยาว</t>
  </si>
  <si>
    <t xml:space="preserve"> - เสาเข็มค.อ.ร. หน้าตัดสี่เหลี่ยมตัน ขนาด 0.26x0.26 ม. ความยาว</t>
  </si>
  <si>
    <t xml:space="preserve"> - เสาเข็มค.อ.ร. หน้าตัดสี่เหลี่ยมตัน ขนาด 0.30x0.30 ม. ความยาว</t>
  </si>
  <si>
    <t xml:space="preserve"> - เสาเข็มค.อ.ร. หน้าตัดสี่เหลี่ยมตัน ขนาด 0.35x0.35 ม. ความยาว</t>
  </si>
  <si>
    <t xml:space="preserve"> - เสาเข็มค.อ.ร. หน้าตัดสี่เหลี่ยมตัน ขนาด 0.40x0.40 ม. ความยาว</t>
  </si>
  <si>
    <t xml:space="preserve">  - ค่าเสาเข็มแต่ละประเภทรวมค่าขนส่งถึงสถานที่ก่อสร้าง เป็นราคาตามข้อกำหนดเกี่ยวกับราคาและแหล่งวัสดุก่อสร้าง</t>
  </si>
  <si>
    <t xml:space="preserve">    ในส่วนของแนวทาง วิธีปฏิบัติ และรายละเอียดประกอบการคำนวณราคากลางงานก่อสร้าง</t>
  </si>
  <si>
    <t xml:space="preserve"> - ค่าตอกเสาเข็ม (เป็นราคาสืบจากผู้ประกอบการในพื้นที่ใกล้ที่สุด ตามปริมาณงานที่จะตอกทั้งหมด</t>
  </si>
  <si>
    <t xml:space="preserve">   โดยรวมค่านั่งร้านที่จำเป็นต้องใช้ในการทำงานไว้ด้วย แล้วคิดเป็นค่าเฉลี่ยต่อเมตร)</t>
  </si>
  <si>
    <t xml:space="preserve"> - ค่าสกัดหัวเสาเข็ม ให้ใช้ตามบัญชีค่าแรง/ดำเนินการสำหรับการถอดแบบคำนวณราคากลางงานก่อสร้าง</t>
  </si>
  <si>
    <t>งานทดสอบเสาเข็ม</t>
  </si>
  <si>
    <t>(ได้แก่ งาน Static Load Test, งาน Dynamic Load Test, งาน Pile Integrity Test (Seismic Test) ฯลฯ)</t>
  </si>
  <si>
    <t xml:space="preserve"> - ค่าทดสอบ</t>
  </si>
  <si>
    <t>ค่าทดสอบ (เป็นราคาสืบจากผู้ประกอบการในพื้นที่ใกล้ที่สุด ตามปริมาณงานที่จะทำการทดสอบทั้งหมด)</t>
  </si>
  <si>
    <t>งานราวกันตก (แบบท่อกลม)</t>
  </si>
  <si>
    <t xml:space="preserve">สูง </t>
  </si>
  <si>
    <t>ยาว</t>
  </si>
  <si>
    <t>ตร.ม./ม.</t>
  </si>
  <si>
    <t>หาปริมาณน้ำหนักเหล็กที่ใช้</t>
  </si>
  <si>
    <t>พท.เหล็ก</t>
  </si>
  <si>
    <t>ปริมาณเหล็กตั้ง</t>
  </si>
  <si>
    <t>นน.เหล็ก ขนาด Ø 50 มม. BS-S</t>
  </si>
  <si>
    <t>กก./ม.</t>
  </si>
  <si>
    <t>ตร.ม./ชุด</t>
  </si>
  <si>
    <t>ปริมาณเหล็กนอน</t>
  </si>
  <si>
    <t>เหล็กแผ่นกลม ขนาด Ø 15 ซม. หนา 8 มม.</t>
  </si>
  <si>
    <t>นน.เหล็กแผ่น หนา 8 มม.</t>
  </si>
  <si>
    <t>กก./ตร.ม.</t>
  </si>
  <si>
    <t>รวมปริมาณเหล็กรูปพรรณ</t>
  </si>
  <si>
    <t>รวมปริมาณเหล็กรูปพรรณ (เผื่อวัสดุ 10%)</t>
  </si>
  <si>
    <t>M12 x 150 mm.</t>
  </si>
  <si>
    <t>หัวน็อต M12 mm.</t>
  </si>
  <si>
    <t>แหวนรองน็อต M12 mm.</t>
  </si>
  <si>
    <t>รายการวัสดุ</t>
  </si>
  <si>
    <t>ราคาวัสดุ</t>
  </si>
  <si>
    <t>เหล็กรูปพรรณ</t>
  </si>
  <si>
    <t>ราคาน็อต</t>
  </si>
  <si>
    <t>http://www.bfastshop.com/</t>
  </si>
  <si>
    <t>ค่าแรง</t>
  </si>
  <si>
    <t>รวมเงิน</t>
  </si>
  <si>
    <t>งานทาสีเหล็ก</t>
  </si>
  <si>
    <t>งานทาสี</t>
  </si>
  <si>
    <t>ค่าวัสดุ</t>
  </si>
  <si>
    <t>ถังใหญ่ทาได้</t>
  </si>
  <si>
    <t xml:space="preserve"> - ค่าวัสดุรวมค่าขนส่งถึงสถานที่ก่อสร้าง</t>
  </si>
  <si>
    <t>ถังแกลลอนทาได้</t>
  </si>
  <si>
    <t xml:space="preserve"> - ค่าแรงประกอบเหล็กรูปพรรณ</t>
  </si>
  <si>
    <t xml:space="preserve"> - ค่างานทาสีเหล็ก</t>
  </si>
  <si>
    <t>รวมงานทาสีเหล็ก</t>
  </si>
  <si>
    <t>x 0.30</t>
  </si>
  <si>
    <t>รวมทั้งสิ้น (1) + (2) + (3) + (4)</t>
  </si>
  <si>
    <t xml:space="preserve"> - ค่างานเฉลี่ย = </t>
  </si>
  <si>
    <t>/ ความยาวทั้งหมด</t>
  </si>
  <si>
    <t>งานบันไดลิง</t>
  </si>
  <si>
    <t>บันไดเหล็กชุบสังกะสี Ø 19 (บ่อพักท่อระบายน้ำ, บ่อสูบ, รางระบายน้ำ คสล.)</t>
  </si>
  <si>
    <t>ปริมาณเหล็ก Ø 19</t>
  </si>
  <si>
    <t>นน.เหล็ก ขนาด RB Ø 19 มม.</t>
  </si>
  <si>
    <t>กก./ขั้น</t>
  </si>
  <si>
    <t xml:space="preserve"> - ค่าชุบสังกะสี</t>
  </si>
  <si>
    <t xml:space="preserve"> x 15 บาท/กก.</t>
  </si>
  <si>
    <t xml:space="preserve"> - ค่าแรงงานติดตั้ง  =</t>
  </si>
  <si>
    <t xml:space="preserve"> x 0.30</t>
  </si>
  <si>
    <t>บาท/ขั้น</t>
  </si>
  <si>
    <t>งานตะแกรงกันสวะ งานตะแกรงฝาบ่อ</t>
  </si>
  <si>
    <t>ที่มาน้ำหนักเหล็ก https://nesco.co.th/product/flat-bar/ และ https://www.zubbsteel.com/products/%E0%B9%80%E0%B8%AB%E0%B8%A5%E0%B9%87%E0%B8%81%E0%B9%81%E0%B8%9A%E0%B8%99-flat-bar/ และ http://www.juthawan.co.th/</t>
  </si>
  <si>
    <t>งานตะแกรงฝาบ่อ</t>
  </si>
  <si>
    <t>MAIN BAR</t>
  </si>
  <si>
    <t>MINOR BAR</t>
  </si>
  <si>
    <t>ตารางแสดงขนาดฝาตะแกรงเหล็ก</t>
  </si>
  <si>
    <t>นน.(กก./ม.)</t>
  </si>
  <si>
    <t>ฝาตะแกรงขนาด กว้าง</t>
  </si>
  <si>
    <t>W1 (ม.)</t>
  </si>
  <si>
    <t>PL-75x10 mm.</t>
  </si>
  <si>
    <t>PL-75x6 mm.</t>
  </si>
  <si>
    <t>MAIN BAR @</t>
  </si>
  <si>
    <t>เลือกใช้</t>
  </si>
  <si>
    <t>นน.เหล็ก</t>
  </si>
  <si>
    <t>PL-100x12 mm.</t>
  </si>
  <si>
    <t>PL-100x8 mm.</t>
  </si>
  <si>
    <t>MINOR BAR @</t>
  </si>
  <si>
    <t>W1&lt;0.70</t>
  </si>
  <si>
    <t>PL-125x12 mm.</t>
  </si>
  <si>
    <t>PL-125x9 mm.</t>
  </si>
  <si>
    <t>ปริมาณเหล็ก MAIN BAR</t>
  </si>
  <si>
    <t>0.70&lt;W1&lt;1.20</t>
  </si>
  <si>
    <t>PL-125x16 mm.</t>
  </si>
  <si>
    <t>ปริมาณเหล็ก MINOR BAR</t>
  </si>
  <si>
    <t>1.20&lt;W1&lt;1.60</t>
  </si>
  <si>
    <t>PL-125x19 mm.</t>
  </si>
  <si>
    <t>1.60&lt;W1&lt;2.15</t>
  </si>
  <si>
    <t>PL-125x22 mm.</t>
  </si>
  <si>
    <t>2.15&lt;W1&lt;2.55</t>
  </si>
  <si>
    <t>2.55&lt;W1&lt;2.90</t>
  </si>
  <si>
    <t xml:space="preserve"> - ค่าเหล็กรวมค่าขนส่งถึงสถานที่ก่อสร้าง</t>
  </si>
  <si>
    <t xml:space="preserve"> - ค่าแรงงานประกอบ ติดตั้ง พร้อมทาสี </t>
  </si>
  <si>
    <t>งานทรายอัดแน่น</t>
  </si>
  <si>
    <t>ทรายถมที่</t>
  </si>
  <si>
    <t>รวม (1) + (2)</t>
  </si>
  <si>
    <t xml:space="preserve">x 1.4 </t>
  </si>
  <si>
    <t xml:space="preserve">บาท/ลบ.ม. </t>
  </si>
  <si>
    <t>รวมทั้งสิ้น (4) + (5)</t>
  </si>
  <si>
    <t>งานทรายหยาบอัดแน่น</t>
  </si>
  <si>
    <t>งานทรายหยาบรองพื้นคอนกรีตหยาบ</t>
  </si>
  <si>
    <t>x 1.15</t>
  </si>
  <si>
    <t>งานทรายถมอัดแน่น</t>
  </si>
  <si>
    <t xml:space="preserve"> - ค่าบดทับใช้อัตราราคาค่าบดทับดินที่ความแน่น 85%</t>
  </si>
  <si>
    <t xml:space="preserve"> - กรณีใช้แรงคน ค่าบดทับคิด 1 คน ทำงานได้ 2 ลบ.ม.ต่อวัน</t>
  </si>
  <si>
    <t>งานระบบไฟฟ้า</t>
  </si>
  <si>
    <t xml:space="preserve"> - ค่าวัสดุพร้อมอุปกรณ์รวมค่าขนส่งถึงสถานที่ก่อสร้าง</t>
  </si>
  <si>
    <t xml:space="preserve"> - ค่าวัสดุพร้อมอุปกรณ์ รวมค่าขนส่งถึงสถานที่ก่อสร้างใช้ราคาตามข้อกำหนดเกี่ยวกับราคาและแหล่งวัสดุก่อสร้าง</t>
  </si>
  <si>
    <t xml:space="preserve"> - ค่าติดตั้ง คิด 30% ของค่าวัสดุอุปกรณ์</t>
  </si>
  <si>
    <t>งาน Control House ตั้งแต่ระดับ.............ขึ้นไป</t>
  </si>
  <si>
    <t xml:space="preserve"> - ค่างาน Control House</t>
  </si>
  <si>
    <t>บาท/แห่ง</t>
  </si>
  <si>
    <t>การคิดราคางานให้ใช้อัตราราคางานตามหลักเกณฑ์ของงานแต่ละรายการที่เกี่ยวข้อง</t>
  </si>
  <si>
    <t>งานเหล็กรูปพรรณ</t>
  </si>
  <si>
    <t>งานเหล็กรูปพรรณ (รูปต่างๆ)</t>
  </si>
  <si>
    <t xml:space="preserve"> - ค่าวัสดุ รวมค่าขนส่งถึงสถานที่ก่อสร้าง</t>
  </si>
  <si>
    <t xml:space="preserve"> - ค่าวัสดุ รวมค่าขนส่งถึงสถานที่ก่อสร้างใช้ราคาตามข้อกำหนดเกี่ยวกับราคาและแหล่งวัสดุก่อสร้าง</t>
  </si>
  <si>
    <t xml:space="preserve"> - ค่าติดตั้ง คิด 30% ของค่าวัสดุ</t>
  </si>
  <si>
    <t>RB 6 mm</t>
  </si>
  <si>
    <t>RB 9 mm.</t>
  </si>
  <si>
    <t>DB 12 mm.</t>
  </si>
  <si>
    <t>DB1 16 mm.</t>
  </si>
  <si>
    <t>DB 20 mm.</t>
  </si>
  <si>
    <t>DB 25 mm.</t>
  </si>
  <si>
    <t>บาท/คัน</t>
  </si>
  <si>
    <t>บาท/กก</t>
  </si>
  <si>
    <t>ราคาไม้ยาง</t>
  </si>
  <si>
    <t>ราคาไม้กระบาก</t>
  </si>
  <si>
    <t>ไม้ยางแปรรูป (ขนาด 1 1/2"x3"x 4-4.5 ม.)</t>
  </si>
  <si>
    <t>ราคาต่อ ลบ.ม</t>
  </si>
  <si>
    <t>หมายเหตุ</t>
  </si>
  <si>
    <t xml:space="preserve">1 ลบ.ม เท่ากับ </t>
  </si>
  <si>
    <t>ลบ.ฟ</t>
  </si>
  <si>
    <t>บาท/ลบ.ฟ</t>
  </si>
  <si>
    <t xml:space="preserve">ราคาพานิชย์จังหวัด </t>
  </si>
  <si>
    <t>ยาว 21 ม.</t>
  </si>
  <si>
    <t>ค่าขนส่ง</t>
  </si>
  <si>
    <t>ให้เสาเข็มยาว 9.00 ม. เนื่องจากต้องตอกริมตลิ่งสูง กว่าระดับที่ต้องการ 5.00 เมตร โดยประมาณ</t>
  </si>
  <si>
    <t xml:space="preserve"> - เสาเข็มค.อ.ร. หน้าตัดสี่เหลี่ยมตัน ขนาด 0.30x0.50 ม. ความยาว</t>
  </si>
  <si>
    <t>คิดพื้นที่หน้าตัดเข็มเทียบเคียง หน้าตัด 0.40x0.40 ม.</t>
  </si>
  <si>
    <t>เทียบเคียงจากเสาเข็ม หน้าตัด 0.40x0.40 ม.</t>
  </si>
  <si>
    <t>ค่า Factor F ของค่างานต้นทุน A = D - {(D - E) x (A - B) / (C - B)}</t>
  </si>
  <si>
    <t>เงื่อนไข</t>
  </si>
  <si>
    <t>เงินล่วงหน้าจ่าย</t>
  </si>
  <si>
    <t>เงินประกันผลงานหัก</t>
  </si>
  <si>
    <t>ดอกเบี้ยเงินกู้</t>
  </si>
  <si>
    <t>ค่าภาษีมูลค่าเพิ่ม (VAT)</t>
  </si>
  <si>
    <t>งานก่อสร้างทาง</t>
  </si>
  <si>
    <t>Item</t>
  </si>
  <si>
    <t>Definition</t>
  </si>
  <si>
    <t>Value</t>
  </si>
  <si>
    <t>A</t>
  </si>
  <si>
    <t>ค่างานต้นทุนที่ต้องการหา Factor F</t>
  </si>
  <si>
    <t>B</t>
  </si>
  <si>
    <t>ค่างานต้นทุนขั้นต่ำ (ขอบล่าง)</t>
  </si>
  <si>
    <t>C</t>
  </si>
  <si>
    <t>ค่างานต้นทุนขั้นสูง (ขอบบน)</t>
  </si>
  <si>
    <t>D</t>
  </si>
  <si>
    <t>ค่า Factor F ของค่างานต้นทุนขั้นต่ำ</t>
  </si>
  <si>
    <t>E</t>
  </si>
  <si>
    <t>ค่า Factor F ของค่างานต้นทุนขั้นสูง</t>
  </si>
  <si>
    <t>Factor F ของค่างานต้นทุน</t>
  </si>
  <si>
    <t>ราคาต่อหน่วย x Factor F</t>
  </si>
  <si>
    <t>ราคาทุน</t>
  </si>
  <si>
    <t>ราคากลาง</t>
  </si>
  <si>
    <t>รวม 6</t>
  </si>
  <si>
    <t>รวม 7</t>
  </si>
  <si>
    <t>หมวดงานก่อสร้างฝายดักตะกอน</t>
  </si>
  <si>
    <t>ท่าเรืออุตสาหกรรมมาบตาพุด</t>
  </si>
  <si>
    <t>ลำดับ</t>
  </si>
  <si>
    <t>ค่างานต้นทุน</t>
  </si>
  <si>
    <t>ค่า</t>
  </si>
  <si>
    <t>ราคากลาง (บาท)</t>
  </si>
  <si>
    <t>ที่</t>
  </si>
  <si>
    <t>ต่อหน่วย (บาท)</t>
  </si>
  <si>
    <t>Factor F</t>
  </si>
  <si>
    <t>ราคา/หน่วย</t>
  </si>
  <si>
    <t>ราคารวม</t>
  </si>
  <si>
    <t>สรุป</t>
  </si>
  <si>
    <t>ค่าใช้จ่ายพิเศษตามข้อกำหนดและค่าใช้จ่ายอื่นที่จำเป็นต้องมี</t>
  </si>
  <si>
    <t>รวมค่าก่อสร้างทั้งสิ้น</t>
  </si>
  <si>
    <t>ตัวหนังสือ</t>
  </si>
  <si>
    <t xml:space="preserve"> คณะกรรมการกำหนดราคากลางงานก่อสร้างของสายงานปฏิบัติการ 3</t>
  </si>
  <si>
    <t>เห็นชอบ........................................ประธานกรรมการ</t>
  </si>
  <si>
    <t xml:space="preserve">  (นายปมุข   เตพละกุล) </t>
  </si>
  <si>
    <t>เห็นชอบ.................................................กรรมการ</t>
  </si>
  <si>
    <t>เห็นชอบ.............................กรรมการ</t>
  </si>
  <si>
    <t xml:space="preserve">        เห็นชอบ................................กรรมการบุคคลภายนอก</t>
  </si>
  <si>
    <t xml:space="preserve">                     เห็นชอบ...............................กรรมการบุคคลภายนอก</t>
  </si>
  <si>
    <t>เห็นชอบ......................................กรรมการและเลขานุการ</t>
  </si>
  <si>
    <t xml:space="preserve">            (นางสาวธนันรินทร์  จิตต์อารีย์)       </t>
  </si>
  <si>
    <t xml:space="preserve">        (นางสาวหทัยภัทร  ทองสะอาด)  </t>
  </si>
  <si>
    <t xml:space="preserve">           (นายวสวัตติ์   กฤษศิริธีรภาคย์) </t>
  </si>
  <si>
    <t xml:space="preserve">                                  (นายพินิจ คำภีระ) </t>
  </si>
  <si>
    <t xml:space="preserve">      (นายวรพล   เพ็ชรภา)    </t>
  </si>
  <si>
    <t>รวม 5</t>
  </si>
  <si>
    <t>รวม 3 หมวดงานก่อสร้างฝายดักตะกอน</t>
  </si>
  <si>
    <t>ตามคำสั่ง กนอ. ที่ 595/2569 ลงวันที่ 4 พฤศจิกายน 2568</t>
  </si>
  <si>
    <t>แบบสรุปราคากลางงานก่อสร้างชลประทาน</t>
  </si>
  <si>
    <t>เห็นชอบ....................................กรรมการ</t>
  </si>
  <si>
    <t>รวม 2 หมวดงานก่อสร้าง</t>
  </si>
  <si>
    <t>รายการปริมาณงานและราคา</t>
  </si>
  <si>
    <t>(ค่าใช้จ่ายพิเศษตามข้อกำหนดและค่าใช้จ่ายอื่นที่จำเป็นต้องมี)</t>
  </si>
  <si>
    <t xml:space="preserve">แบบเลขที่ : </t>
  </si>
  <si>
    <t>ประมาณการโดย : คณะกรรมการกำหนดราคากลางงานก่อสร้าง สายงานปฏิบัติการ 3</t>
  </si>
  <si>
    <t>ลำดับที่</t>
  </si>
  <si>
    <t>จำนวน</t>
  </si>
  <si>
    <t>ค่าใช้จ่ายรวม</t>
  </si>
  <si>
    <t>งาน</t>
  </si>
  <si>
    <t>รวมค่าใช้จ่ายพิเศษตามข้อกำหนดฯ ทุกรายการ</t>
  </si>
  <si>
    <t>ตัวอักษร</t>
  </si>
  <si>
    <t>แบบแสดงการคำนวณและเหตุผลความจำเป็น</t>
  </si>
  <si>
    <t>สำหรับค่าใช้จ่ายพิเศษตามข้อกำหนดฯ</t>
  </si>
  <si>
    <t>ค่าพาหนะไป-กลับของคนงาน</t>
  </si>
  <si>
    <t>ชื่อโครงการ</t>
  </si>
  <si>
    <t>โครงการก่อสร้างรางระบายน้ำฝนถนนทางเข้าท่าเทียบเรือตรวจการณ์</t>
  </si>
  <si>
    <t>สถานที่ก่อสร้าง</t>
  </si>
  <si>
    <t>แบบเลขที่</t>
  </si>
  <si>
    <t>มีนาคม 2567</t>
  </si>
  <si>
    <t>หน่วยงานเจ้าของโครงการ</t>
  </si>
  <si>
    <t>คำนวณราคากลางโดย</t>
  </si>
  <si>
    <t>คณะกรรมการกำหนดราคากลางงานก่อสร้างสายงานปฏิบัติการ 3</t>
  </si>
  <si>
    <t>เมื่อวันที่</t>
  </si>
  <si>
    <t>15 ตุลาคม 2567</t>
  </si>
  <si>
    <t>1. เหตุผลและความจำเป็นที่ต้องมีค่าใช้จ่ายพิเศษตามข้อกำหนดฯ รายการนี้</t>
  </si>
  <si>
    <t>ค่าใช้จ่าย กรณีไม่อนุญาตให้คนงานพักในบริเวณสถานที่ก่อสร้าง โดยคิดคำนวณเฉพาะค่าพาหนะไป-กลับของคนงานเท่านั้น</t>
  </si>
  <si>
    <t>2. รายละเอียดการคำนวณ</t>
  </si>
  <si>
    <t>รายการค่าใช้จ่าย</t>
  </si>
  <si>
    <t>รวมค่าใช้จ่าย</t>
  </si>
  <si>
    <t>ค่าภาษีมูลค่าเพิ่ม</t>
  </si>
  <si>
    <t>ค่าใช้จ่ายรวมภาษีมูลค่าเพิ่ม</t>
  </si>
  <si>
    <t>งานความปลอดภัยในการทำงาน</t>
  </si>
  <si>
    <t>เพื่อความปลอดภัยในการทำงาน ป้องกันการเกิดอุบัติเหตุระหว่างก่อสร้าง</t>
  </si>
  <si>
    <t>ค่าเช่ากรวย 75 วัน เดือนละ 120 บาท แผงกั้นเดือนละ 80 บาท  ไม่กั้นยาว 2 เมตร ใช้ทั้งหมด 100 เมตร ใช้ไม่กั้น 50 อัน กรวย 51 อัน</t>
  </si>
  <si>
    <t>ค่าเช่ากรวยพร้อมแผงกั้น</t>
  </si>
  <si>
    <t xml:space="preserve">ค่าจ้างคนโบกธง </t>
  </si>
  <si>
    <t>ค่าเช่าไฟเตือนแบบมีแบตเตอรี่</t>
  </si>
  <si>
    <t>งานเบี่ยงทิศทางน้ำ</t>
  </si>
  <si>
    <t xml:space="preserve">เพื่อป้องกันน้ำท่วมขังบริเวณก่อสร้าง </t>
  </si>
  <si>
    <t>ค่าเช่าเครื่องสูบน้ำ ขนาด 4-6 แรงม้า ราคาน้ำมันเบนซีน 44.14 บาท ณ วันที่  15 กันยายน 2567ค่าเช่าวันละ 338 บาท ใช้ 120 วัน</t>
  </si>
  <si>
    <t>เครื่องสูบน้ำ ขนาด 4-6 แรงม้า</t>
  </si>
  <si>
    <t>ธันวาคม 2569</t>
  </si>
  <si>
    <t>นิคมอุตสาหกรรมมาบตาพุด</t>
  </si>
  <si>
    <t>สถานที่ก่อสร้าง : นิคมอุตสาหกรรมมาบตาพุด</t>
  </si>
  <si>
    <t xml:space="preserve"> นิคมอุตสาหกรรมมาบตาพุด</t>
  </si>
  <si>
    <t>ค่าเช่าคนโบกธง 2 คน เพื่อป้องกันรถยนต์ขับสวนกัน 300 วัน ค่าแรงขั้นต่ำจังหวัดระยอง 400 บาท</t>
  </si>
  <si>
    <r>
      <t xml:space="preserve">15 </t>
    </r>
    <r>
      <rPr>
        <b/>
        <sz val="18"/>
        <color theme="1"/>
        <rFont val="TH Sarabun New"/>
        <family val="2"/>
      </rPr>
      <t>ธันวาคม 2569</t>
    </r>
  </si>
  <si>
    <t>คำนวณจากค่าจ้างเหมารถปิคอัพ จำนวน 1 คัน วันละ 1 รอบ (ไป-กลับ) เป็นเงินจำนวน 1,225 บาท/คัน/วัน ทั้งหมด 300 วัน</t>
  </si>
  <si>
    <t>ค่าพาหนะวันละ 1,225 บาท/คัน/วัน จำนวน 1 คัน ทั้งสิ้น 300 วัน</t>
  </si>
  <si>
    <t>ความจุคน 12-15 คน</t>
  </si>
  <si>
    <t xml:space="preserve">  (นางสาวสุธินันท์ กันเงิน)    </t>
  </si>
  <si>
    <t>หกล้านสองแสนสามหมื่นห้าสิบเอ็ดบาทเก้าสิบสามสตางค์</t>
  </si>
  <si>
    <t>วันที่  22 ธันวาคม 2569</t>
  </si>
  <si>
    <t>รายการประมาณราคาค่าก่อสร้าง : โครงการจ้างก่อสร้างฝายดักตะกอน คลองชากหมาก</t>
  </si>
  <si>
    <t>22 ธันวาคม 2569</t>
  </si>
  <si>
    <t xml:space="preserve"> โครงการจ้างก่อสร้างฝายดักตะกอน คลองชากหมาก</t>
  </si>
  <si>
    <t>โครงการ :  จ้างก่อสร้างฝายดักตะกอน คลองชากหมาก</t>
  </si>
  <si>
    <t>บัญชีแสดงปริมาณงานและราคา</t>
  </si>
  <si>
    <t>การนิคมอุตสาหกรรมแห่งประเทศไทย</t>
  </si>
  <si>
    <t>........................................................................................</t>
  </si>
  <si>
    <t>ประทับตราบริษัท/ห้างฯ</t>
  </si>
  <si>
    <t xml:space="preserve">วันที่  </t>
  </si>
  <si>
    <t>ของบริษัท, ห้างฯ 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</si>
</sst>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_-* #,##0.00_-;\-* #,##0.00_-;_-* &quot;-&quot;??_-;_-@_-"/>
    <numFmt numFmtId="165" formatCode="[$-1070000]d/mm/yyyy;@"/>
    <numFmt numFmtId="166" formatCode="0.0"/>
    <numFmt numFmtId="167" formatCode="\(0\)"/>
    <numFmt numFmtId="168" formatCode="0.000"/>
    <numFmt numFmtId="169" formatCode="_(* #,##0.0000_);_(* \(#,##0.0000\);_(* &quot;-&quot;??_);_(@_)"/>
    <numFmt numFmtId="170" formatCode="_-* #,##0.00000_-;\-* #,##0.00000_-;_-* &quot;-&quot;??_-;_-@_-"/>
    <numFmt numFmtId="171" formatCode="_-* #,##0.00_-;\-* #,##0.00_-;_-* &quot;-&quot;??_-;_-@"/>
    <numFmt numFmtId="172" formatCode="0.000%"/>
    <numFmt numFmtId="173" formatCode="_(* #,##0.0_);_(* \(#,##0.0\);_(* &quot;-&quot;??_);_(@_)"/>
    <numFmt numFmtId="174" formatCode="_-* #,##0.0000_-;\-* #,##0.0000_-;_-* &quot;-&quot;??_-;_-@_-"/>
    <numFmt numFmtId="175" formatCode="_-* #,##0_-;\-* #,##0_-;_-* &quot;-&quot;??_-;_-@_-"/>
    <numFmt numFmtId="176" formatCode="_-* #,##0.0_-;\-* #,##0.0_-;_-* &quot;-&quot;??_-;_-@_-"/>
    <numFmt numFmtId="177" formatCode="_-* #,##0_-;\-* #,##0_-;_-* &quot;-&quot;_-;_-@_-"/>
  </numFmts>
  <fonts count="44">
    <font>
      <sz val="16"/>
      <color theme="1"/>
      <name val="AngsanaUPC"/>
      <family val="2"/>
      <charset val="222"/>
    </font>
    <font>
      <sz val="11"/>
      <color theme="1"/>
      <name val="Calibri"/>
      <family val="2"/>
      <scheme val="minor"/>
    </font>
    <font>
      <sz val="16"/>
      <color theme="1"/>
      <name val="AngsanaUPC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UPC"/>
      <family val="2"/>
    </font>
    <font>
      <b/>
      <sz val="12"/>
      <color rgb="FF333333"/>
      <name val="Microsoft YaHei"/>
      <family val="2"/>
    </font>
    <font>
      <u/>
      <sz val="16"/>
      <color theme="10"/>
      <name val="AngsanaUPC"/>
      <family val="2"/>
      <charset val="222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5"/>
      <color theme="1"/>
      <name val="TH Sarabun New"/>
      <family val="2"/>
    </font>
    <font>
      <b/>
      <sz val="15"/>
      <color theme="1"/>
      <name val="TH Sarabun New"/>
      <family val="2"/>
    </font>
    <font>
      <sz val="15"/>
      <color rgb="FFFF0000"/>
      <name val="TH Sarabun New"/>
      <family val="2"/>
    </font>
    <font>
      <sz val="14"/>
      <name val="TH Sarabun New"/>
      <family val="2"/>
    </font>
    <font>
      <sz val="15"/>
      <name val="TH Sarabun New"/>
      <family val="2"/>
    </font>
    <font>
      <b/>
      <sz val="14"/>
      <name val="TH Sarabun New"/>
      <family val="2"/>
    </font>
    <font>
      <b/>
      <sz val="15"/>
      <color rgb="FF0000FF"/>
      <name val="TH Sarabun New"/>
      <family val="2"/>
    </font>
    <font>
      <sz val="16"/>
      <color theme="1"/>
      <name val="TH Sarabun New"/>
      <family val="2"/>
    </font>
    <font>
      <u/>
      <sz val="16"/>
      <color theme="1"/>
      <name val="TH Sarabun New"/>
      <family val="2"/>
    </font>
    <font>
      <u val="double"/>
      <sz val="16"/>
      <color theme="1"/>
      <name val="TH Sarabun New"/>
      <family val="2"/>
    </font>
    <font>
      <u/>
      <sz val="16"/>
      <color theme="10"/>
      <name val="TH Sarabun New"/>
      <family val="2"/>
    </font>
    <font>
      <u val="singleAccounting"/>
      <sz val="16"/>
      <color theme="1"/>
      <name val="TH Sarabun New"/>
      <family val="2"/>
    </font>
    <font>
      <u val="doubleAccounting"/>
      <sz val="16"/>
      <color theme="1"/>
      <name val="TH Sarabun New"/>
      <family val="2"/>
    </font>
    <font>
      <u val="singleAccounting"/>
      <sz val="15"/>
      <color theme="1"/>
      <name val="TH Sarabun New"/>
      <family val="2"/>
    </font>
    <font>
      <u val="doubleAccounting"/>
      <sz val="15"/>
      <color theme="1"/>
      <name val="TH Sarabun New"/>
      <family val="2"/>
    </font>
    <font>
      <b/>
      <sz val="9"/>
      <color indexed="81"/>
      <name val="Tahoma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b/>
      <sz val="11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4"/>
      <name val="AngsanaUPC"/>
      <family val="1"/>
      <charset val="22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6"/>
      <color theme="1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BF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5" fontId="6" fillId="0" borderId="0"/>
    <xf numFmtId="0" fontId="8" fillId="0" borderId="0" applyNumberFormat="0" applyFill="0" applyBorder="0" applyAlignment="0" applyProtection="0"/>
    <xf numFmtId="0" fontId="9" fillId="0" borderId="0"/>
    <xf numFmtId="0" fontId="3" fillId="0" borderId="0"/>
    <xf numFmtId="164" fontId="9" fillId="0" borderId="0" applyFont="0" applyFill="0" applyBorder="0" applyAlignment="0" applyProtection="0"/>
    <xf numFmtId="0" fontId="3" fillId="0" borderId="0"/>
    <xf numFmtId="0" fontId="27" fillId="0" borderId="0"/>
    <xf numFmtId="0" fontId="30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" fillId="0" borderId="0"/>
    <xf numFmtId="0" fontId="37" fillId="0" borderId="0"/>
    <xf numFmtId="0" fontId="1" fillId="0" borderId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4" fillId="0" borderId="0"/>
  </cellStyleXfs>
  <cellXfs count="375">
    <xf numFmtId="0" fontId="0" fillId="0" borderId="0" xfId="0"/>
    <xf numFmtId="0" fontId="7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4" borderId="7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horizontal="left" vertical="center"/>
    </xf>
    <xf numFmtId="43" fontId="11" fillId="0" borderId="0" xfId="5" applyNumberFormat="1" applyFont="1" applyAlignment="1">
      <alignment vertical="center"/>
    </xf>
    <xf numFmtId="49" fontId="11" fillId="0" borderId="0" xfId="5" applyNumberFormat="1" applyFont="1" applyAlignment="1">
      <alignment horizontal="center" vertical="center"/>
    </xf>
    <xf numFmtId="2" fontId="13" fillId="0" borderId="0" xfId="5" applyNumberFormat="1" applyFont="1" applyAlignment="1">
      <alignment vertical="center"/>
    </xf>
    <xf numFmtId="2" fontId="13" fillId="0" borderId="0" xfId="5" applyNumberFormat="1" applyFont="1" applyAlignment="1">
      <alignment horizontal="right" vertical="center"/>
    </xf>
    <xf numFmtId="2" fontId="11" fillId="0" borderId="0" xfId="5" applyNumberFormat="1" applyFont="1" applyAlignment="1">
      <alignment vertical="center"/>
    </xf>
    <xf numFmtId="164" fontId="11" fillId="0" borderId="0" xfId="5" applyNumberFormat="1" applyFont="1" applyAlignment="1">
      <alignment vertical="center"/>
    </xf>
    <xf numFmtId="16" fontId="11" fillId="0" borderId="0" xfId="5" applyNumberFormat="1" applyFont="1" applyAlignment="1">
      <alignment horizontal="right" vertical="center"/>
    </xf>
    <xf numFmtId="164" fontId="11" fillId="0" borderId="0" xfId="7" applyFont="1" applyFill="1" applyAlignment="1">
      <alignment vertical="center"/>
    </xf>
    <xf numFmtId="164" fontId="11" fillId="0" borderId="0" xfId="5" applyNumberFormat="1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1" fillId="0" borderId="9" xfId="5" applyFont="1" applyBorder="1" applyAlignment="1">
      <alignment vertical="center"/>
    </xf>
    <xf numFmtId="164" fontId="11" fillId="0" borderId="0" xfId="7" applyFont="1" applyFill="1" applyAlignment="1">
      <alignment horizontal="center" vertical="center"/>
    </xf>
    <xf numFmtId="164" fontId="13" fillId="0" borderId="0" xfId="7" applyFont="1" applyFill="1" applyAlignment="1">
      <alignment horizontal="right" vertical="center"/>
    </xf>
    <xf numFmtId="0" fontId="13" fillId="0" borderId="0" xfId="5" applyFont="1" applyAlignment="1">
      <alignment vertical="center"/>
    </xf>
    <xf numFmtId="43" fontId="11" fillId="0" borderId="0" xfId="5" applyNumberFormat="1" applyFont="1" applyAlignment="1">
      <alignment horizontal="center" vertical="center"/>
    </xf>
    <xf numFmtId="2" fontId="11" fillId="0" borderId="0" xfId="5" applyNumberFormat="1" applyFont="1" applyAlignment="1">
      <alignment horizontal="center" vertical="center"/>
    </xf>
    <xf numFmtId="164" fontId="13" fillId="0" borderId="0" xfId="7" applyFont="1" applyFill="1" applyAlignment="1">
      <alignment horizontal="center" vertical="center"/>
    </xf>
    <xf numFmtId="166" fontId="11" fillId="0" borderId="0" xfId="5" applyNumberFormat="1" applyFont="1" applyAlignment="1">
      <alignment horizontal="center" vertical="center"/>
    </xf>
    <xf numFmtId="0" fontId="11" fillId="3" borderId="6" xfId="5" applyFont="1" applyFill="1" applyBorder="1" applyAlignment="1">
      <alignment horizontal="center" vertical="center"/>
    </xf>
    <xf numFmtId="3" fontId="11" fillId="6" borderId="0" xfId="5" applyNumberFormat="1" applyFont="1" applyFill="1" applyAlignment="1">
      <alignment horizontal="center" vertical="center"/>
    </xf>
    <xf numFmtId="167" fontId="11" fillId="0" borderId="0" xfId="5" applyNumberFormat="1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164" fontId="15" fillId="0" borderId="0" xfId="7" applyFont="1" applyFill="1" applyAlignment="1">
      <alignment horizontal="center" vertical="center"/>
    </xf>
    <xf numFmtId="3" fontId="11" fillId="0" borderId="0" xfId="5" applyNumberFormat="1" applyFont="1" applyAlignment="1">
      <alignment horizontal="center" vertical="center"/>
    </xf>
    <xf numFmtId="164" fontId="11" fillId="0" borderId="0" xfId="7" applyFont="1" applyAlignment="1">
      <alignment vertical="center"/>
    </xf>
    <xf numFmtId="167" fontId="11" fillId="7" borderId="0" xfId="5" applyNumberFormat="1" applyFont="1" applyFill="1" applyAlignment="1">
      <alignment horizontal="center" vertical="center"/>
    </xf>
    <xf numFmtId="168" fontId="11" fillId="0" borderId="0" xfId="5" applyNumberFormat="1" applyFont="1" applyAlignment="1">
      <alignment vertical="center"/>
    </xf>
    <xf numFmtId="0" fontId="16" fillId="0" borderId="10" xfId="8" applyFont="1" applyBorder="1" applyAlignment="1">
      <alignment horizontal="center" vertical="center"/>
    </xf>
    <xf numFmtId="0" fontId="16" fillId="8" borderId="1" xfId="8" applyFont="1" applyFill="1" applyBorder="1" applyAlignment="1">
      <alignment horizontal="center" vertical="center"/>
    </xf>
    <xf numFmtId="0" fontId="16" fillId="9" borderId="1" xfId="8" applyFont="1" applyFill="1" applyBorder="1" applyAlignment="1">
      <alignment horizontal="center" vertical="center"/>
    </xf>
    <xf numFmtId="0" fontId="16" fillId="10" borderId="1" xfId="8" applyFont="1" applyFill="1" applyBorder="1" applyAlignment="1">
      <alignment horizontal="center" vertical="center"/>
    </xf>
    <xf numFmtId="0" fontId="16" fillId="0" borderId="9" xfId="8" applyFont="1" applyBorder="1" applyAlignment="1">
      <alignment vertical="center"/>
    </xf>
    <xf numFmtId="0" fontId="14" fillId="0" borderId="0" xfId="8" applyFont="1" applyAlignment="1">
      <alignment vertical="center"/>
    </xf>
    <xf numFmtId="0" fontId="16" fillId="0" borderId="0" xfId="8" applyFont="1" applyAlignment="1">
      <alignment vertical="center"/>
    </xf>
    <xf numFmtId="2" fontId="12" fillId="0" borderId="0" xfId="5" applyNumberFormat="1" applyFont="1" applyAlignment="1">
      <alignment vertical="center"/>
    </xf>
    <xf numFmtId="0" fontId="17" fillId="0" borderId="0" xfId="5" applyFont="1" applyAlignment="1">
      <alignment horizontal="center" vertical="center"/>
    </xf>
    <xf numFmtId="0" fontId="18" fillId="0" borderId="0" xfId="5" applyFont="1" applyAlignment="1">
      <alignment vertical="center"/>
    </xf>
    <xf numFmtId="0" fontId="11" fillId="0" borderId="0" xfId="5" applyFont="1" applyAlignment="1">
      <alignment horizontal="right" vertical="center"/>
    </xf>
    <xf numFmtId="0" fontId="8" fillId="0" borderId="0" xfId="4" applyAlignment="1">
      <alignment vertical="center"/>
    </xf>
    <xf numFmtId="2" fontId="11" fillId="0" borderId="0" xfId="5" applyNumberFormat="1" applyFont="1" applyAlignment="1">
      <alignment horizontal="right" vertical="center"/>
    </xf>
    <xf numFmtId="3" fontId="11" fillId="0" borderId="0" xfId="5" applyNumberFormat="1" applyFont="1" applyAlignment="1">
      <alignment vertical="center"/>
    </xf>
    <xf numFmtId="0" fontId="18" fillId="0" borderId="0" xfId="0" applyFont="1"/>
    <xf numFmtId="0" fontId="10" fillId="0" borderId="0" xfId="0" applyFont="1"/>
    <xf numFmtId="0" fontId="18" fillId="0" borderId="0" xfId="0" applyFont="1" applyAlignment="1">
      <alignment horizontal="center"/>
    </xf>
    <xf numFmtId="2" fontId="18" fillId="0" borderId="0" xfId="7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164" fontId="18" fillId="0" borderId="0" xfId="7" applyFont="1" applyFill="1"/>
    <xf numFmtId="2" fontId="19" fillId="0" borderId="0" xfId="7" applyNumberFormat="1" applyFont="1" applyFill="1" applyAlignment="1">
      <alignment horizontal="center"/>
    </xf>
    <xf numFmtId="2" fontId="20" fillId="0" borderId="0" xfId="7" applyNumberFormat="1" applyFont="1" applyFill="1" applyAlignment="1">
      <alignment horizontal="center"/>
    </xf>
    <xf numFmtId="0" fontId="21" fillId="0" borderId="0" xfId="4" applyFont="1" applyFill="1"/>
    <xf numFmtId="164" fontId="18" fillId="0" borderId="0" xfId="7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Continuous"/>
    </xf>
    <xf numFmtId="0" fontId="18" fillId="0" borderId="12" xfId="0" applyFont="1" applyBorder="1" applyAlignment="1">
      <alignment horizontal="centerContinuous"/>
    </xf>
    <xf numFmtId="4" fontId="18" fillId="0" borderId="1" xfId="0" applyNumberFormat="1" applyFont="1" applyBorder="1" applyAlignment="1">
      <alignment horizontal="center"/>
    </xf>
    <xf numFmtId="164" fontId="18" fillId="0" borderId="1" xfId="7" applyFont="1" applyFill="1" applyBorder="1" applyAlignment="1">
      <alignment horizontal="center"/>
    </xf>
    <xf numFmtId="164" fontId="22" fillId="0" borderId="0" xfId="7" applyFont="1" applyFill="1" applyAlignment="1">
      <alignment horizontal="center"/>
    </xf>
    <xf numFmtId="167" fontId="18" fillId="0" borderId="0" xfId="0" applyNumberFormat="1" applyFont="1" applyAlignment="1">
      <alignment horizontal="center"/>
    </xf>
    <xf numFmtId="0" fontId="18" fillId="0" borderId="13" xfId="0" applyFont="1" applyBorder="1"/>
    <xf numFmtId="0" fontId="18" fillId="0" borderId="14" xfId="0" applyFont="1" applyBorder="1"/>
    <xf numFmtId="4" fontId="18" fillId="0" borderId="5" xfId="0" applyNumberFormat="1" applyFont="1" applyBorder="1" applyAlignment="1">
      <alignment horizontal="center"/>
    </xf>
    <xf numFmtId="164" fontId="18" fillId="0" borderId="5" xfId="7" applyFont="1" applyFill="1" applyBorder="1" applyAlignment="1">
      <alignment horizontal="center"/>
    </xf>
    <xf numFmtId="0" fontId="18" fillId="0" borderId="11" xfId="0" applyFont="1" applyBorder="1"/>
    <xf numFmtId="0" fontId="18" fillId="0" borderId="12" xfId="0" applyFont="1" applyBorder="1"/>
    <xf numFmtId="164" fontId="18" fillId="0" borderId="1" xfId="0" applyNumberFormat="1" applyFont="1" applyBorder="1"/>
    <xf numFmtId="0" fontId="18" fillId="0" borderId="3" xfId="0" applyFont="1" applyBorder="1"/>
    <xf numFmtId="164" fontId="22" fillId="0" borderId="6" xfId="7" applyFont="1" applyFill="1" applyBorder="1"/>
    <xf numFmtId="4" fontId="18" fillId="0" borderId="0" xfId="0" applyNumberFormat="1" applyFont="1" applyAlignment="1">
      <alignment horizontal="center"/>
    </xf>
    <xf numFmtId="164" fontId="18" fillId="0" borderId="5" xfId="0" applyNumberFormat="1" applyFont="1" applyBorder="1"/>
    <xf numFmtId="2" fontId="18" fillId="0" borderId="0" xfId="0" applyNumberFormat="1" applyFont="1"/>
    <xf numFmtId="0" fontId="18" fillId="0" borderId="8" xfId="0" applyFont="1" applyBorder="1"/>
    <xf numFmtId="164" fontId="18" fillId="0" borderId="0" xfId="0" applyNumberFormat="1" applyFont="1"/>
    <xf numFmtId="164" fontId="23" fillId="0" borderId="0" xfId="7" applyFont="1" applyFill="1"/>
    <xf numFmtId="0" fontId="12" fillId="0" borderId="1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2" fontId="11" fillId="6" borderId="0" xfId="5" applyNumberFormat="1" applyFont="1" applyFill="1" applyAlignment="1">
      <alignment horizontal="center" vertical="center"/>
    </xf>
    <xf numFmtId="0" fontId="11" fillId="6" borderId="0" xfId="5" applyFont="1" applyFill="1" applyAlignment="1">
      <alignment horizontal="center" vertical="center"/>
    </xf>
    <xf numFmtId="0" fontId="11" fillId="0" borderId="1" xfId="5" applyFont="1" applyBorder="1" applyAlignment="1">
      <alignment vertical="center"/>
    </xf>
    <xf numFmtId="2" fontId="11" fillId="0" borderId="1" xfId="5" applyNumberFormat="1" applyFont="1" applyBorder="1" applyAlignment="1">
      <alignment vertical="center"/>
    </xf>
    <xf numFmtId="0" fontId="11" fillId="0" borderId="8" xfId="5" applyFont="1" applyBorder="1" applyAlignment="1">
      <alignment vertical="center"/>
    </xf>
    <xf numFmtId="0" fontId="11" fillId="0" borderId="3" xfId="5" applyFont="1" applyBorder="1" applyAlignment="1">
      <alignment vertical="center"/>
    </xf>
    <xf numFmtId="0" fontId="11" fillId="0" borderId="6" xfId="5" applyFont="1" applyBorder="1" applyAlignment="1">
      <alignment vertical="center"/>
    </xf>
    <xf numFmtId="0" fontId="11" fillId="0" borderId="4" xfId="5" applyFont="1" applyBorder="1" applyAlignment="1">
      <alignment vertical="center"/>
    </xf>
    <xf numFmtId="2" fontId="11" fillId="0" borderId="4" xfId="5" applyNumberFormat="1" applyFont="1" applyBorder="1" applyAlignment="1">
      <alignment vertical="center"/>
    </xf>
    <xf numFmtId="164" fontId="24" fillId="0" borderId="0" xfId="7" applyFont="1" applyAlignment="1">
      <alignment vertical="center"/>
    </xf>
    <xf numFmtId="0" fontId="11" fillId="0" borderId="5" xfId="5" applyFont="1" applyBorder="1" applyAlignment="1">
      <alignment vertical="center"/>
    </xf>
    <xf numFmtId="2" fontId="11" fillId="0" borderId="5" xfId="5" applyNumberFormat="1" applyFont="1" applyBorder="1" applyAlignment="1">
      <alignment vertical="center"/>
    </xf>
    <xf numFmtId="164" fontId="25" fillId="0" borderId="0" xfId="7" applyFont="1" applyAlignment="1">
      <alignment vertical="center"/>
    </xf>
    <xf numFmtId="164" fontId="11" fillId="7" borderId="0" xfId="7" applyFont="1" applyFill="1" applyAlignment="1">
      <alignment horizontal="center" vertical="center"/>
    </xf>
    <xf numFmtId="4" fontId="11" fillId="0" borderId="0" xfId="5" applyNumberFormat="1" applyFont="1" applyAlignment="1">
      <alignment horizontal="center" vertical="center"/>
    </xf>
    <xf numFmtId="164" fontId="24" fillId="7" borderId="0" xfId="7" applyFont="1" applyFill="1" applyAlignment="1">
      <alignment horizontal="center" vertical="center"/>
    </xf>
    <xf numFmtId="0" fontId="11" fillId="7" borderId="0" xfId="5" applyFont="1" applyFill="1" applyAlignment="1">
      <alignment vertical="center"/>
    </xf>
    <xf numFmtId="0" fontId="0" fillId="0" borderId="0" xfId="0" applyAlignment="1">
      <alignment horizontal="left" vertical="center" wrapText="1"/>
    </xf>
    <xf numFmtId="164" fontId="11" fillId="0" borderId="0" xfId="1" applyFont="1" applyAlignment="1">
      <alignment vertical="center"/>
    </xf>
    <xf numFmtId="4" fontId="11" fillId="3" borderId="6" xfId="5" applyNumberFormat="1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0" applyNumberFormat="1"/>
    <xf numFmtId="0" fontId="11" fillId="0" borderId="0" xfId="5" applyFont="1" applyFill="1" applyAlignment="1">
      <alignment vertical="center"/>
    </xf>
    <xf numFmtId="0" fontId="28" fillId="0" borderId="0" xfId="9" applyFont="1" applyAlignment="1">
      <alignment vertical="center"/>
    </xf>
    <xf numFmtId="0" fontId="31" fillId="0" borderId="0" xfId="10" applyFont="1"/>
    <xf numFmtId="0" fontId="32" fillId="0" borderId="0" xfId="9" applyFont="1" applyAlignment="1">
      <alignment horizontal="center" vertical="center"/>
    </xf>
    <xf numFmtId="0" fontId="33" fillId="0" borderId="0" xfId="9" applyFont="1" applyAlignment="1">
      <alignment horizontal="center" vertical="center"/>
    </xf>
    <xf numFmtId="0" fontId="34" fillId="0" borderId="0" xfId="9" applyFont="1" applyAlignment="1">
      <alignment horizontal="left" vertical="center" indent="1"/>
    </xf>
    <xf numFmtId="9" fontId="34" fillId="0" borderId="0" xfId="11" applyFont="1" applyFill="1" applyBorder="1" applyAlignment="1">
      <alignment horizontal="right" vertical="center" indent="1"/>
    </xf>
    <xf numFmtId="0" fontId="34" fillId="0" borderId="0" xfId="9" applyFont="1" applyAlignment="1">
      <alignment horizontal="center" vertical="center"/>
    </xf>
    <xf numFmtId="0" fontId="34" fillId="0" borderId="0" xfId="9" applyFont="1" applyAlignment="1">
      <alignment vertical="center"/>
    </xf>
    <xf numFmtId="0" fontId="5" fillId="0" borderId="0" xfId="9" applyFont="1"/>
    <xf numFmtId="0" fontId="32" fillId="0" borderId="6" xfId="9" applyFont="1" applyBorder="1" applyAlignment="1">
      <alignment horizontal="center" vertical="center"/>
    </xf>
    <xf numFmtId="0" fontId="34" fillId="0" borderId="6" xfId="9" applyFont="1" applyBorder="1" applyAlignment="1">
      <alignment horizontal="center" vertical="center"/>
    </xf>
    <xf numFmtId="0" fontId="34" fillId="0" borderId="6" xfId="9" applyFont="1" applyBorder="1" applyAlignment="1">
      <alignment horizontal="left" vertical="center" indent="1"/>
    </xf>
    <xf numFmtId="43" fontId="34" fillId="0" borderId="6" xfId="12" applyFont="1" applyFill="1" applyBorder="1" applyAlignment="1">
      <alignment vertical="center"/>
    </xf>
    <xf numFmtId="169" fontId="34" fillId="0" borderId="6" xfId="12" applyNumberFormat="1" applyFont="1" applyFill="1" applyBorder="1" applyAlignment="1">
      <alignment vertical="center"/>
    </xf>
    <xf numFmtId="170" fontId="36" fillId="7" borderId="6" xfId="9" applyNumberFormat="1" applyFont="1" applyFill="1" applyBorder="1" applyAlignment="1">
      <alignment vertical="center"/>
    </xf>
    <xf numFmtId="4" fontId="5" fillId="0" borderId="0" xfId="2" applyNumberFormat="1" applyFont="1" applyFill="1" applyAlignment="1">
      <alignment vertical="center"/>
    </xf>
    <xf numFmtId="4" fontId="5" fillId="0" borderId="0" xfId="2" applyNumberFormat="1" applyFont="1" applyFill="1" applyAlignment="1">
      <alignment horizontal="center" vertical="center"/>
    </xf>
    <xf numFmtId="4" fontId="5" fillId="0" borderId="0" xfId="2" applyNumberFormat="1" applyFont="1" applyFill="1" applyAlignment="1">
      <alignment horizontal="right" vertical="center"/>
    </xf>
    <xf numFmtId="4" fontId="5" fillId="0" borderId="1" xfId="2" applyNumberFormat="1" applyFont="1" applyFill="1" applyBorder="1" applyAlignment="1">
      <alignment horizontal="center" vertical="center" wrapText="1"/>
    </xf>
    <xf numFmtId="4" fontId="5" fillId="0" borderId="4" xfId="2" applyNumberFormat="1" applyFont="1" applyFill="1" applyBorder="1" applyAlignment="1">
      <alignment vertical="center"/>
    </xf>
    <xf numFmtId="3" fontId="5" fillId="0" borderId="6" xfId="2" quotePrefix="1" applyNumberFormat="1" applyFont="1" applyFill="1" applyBorder="1" applyAlignment="1">
      <alignment horizontal="center" vertical="center"/>
    </xf>
    <xf numFmtId="4" fontId="4" fillId="0" borderId="6" xfId="2" applyNumberFormat="1" applyFont="1" applyFill="1" applyBorder="1" applyAlignment="1">
      <alignment vertical="center"/>
    </xf>
    <xf numFmtId="4" fontId="5" fillId="0" borderId="6" xfId="2" applyNumberFormat="1" applyFont="1" applyFill="1" applyBorder="1" applyAlignment="1">
      <alignment horizontal="center" vertical="center"/>
    </xf>
    <xf numFmtId="4" fontId="5" fillId="0" borderId="6" xfId="2" applyNumberFormat="1" applyFont="1" applyFill="1" applyBorder="1" applyAlignment="1">
      <alignment horizontal="right" vertical="center"/>
    </xf>
    <xf numFmtId="4" fontId="5" fillId="0" borderId="6" xfId="2" applyNumberFormat="1" applyFont="1" applyFill="1" applyBorder="1" applyAlignment="1">
      <alignment vertical="center"/>
    </xf>
    <xf numFmtId="4" fontId="4" fillId="0" borderId="6" xfId="2" applyNumberFormat="1" applyFont="1" applyFill="1" applyBorder="1" applyAlignment="1">
      <alignment horizontal="center" vertical="center"/>
    </xf>
    <xf numFmtId="4" fontId="4" fillId="0" borderId="6" xfId="2" applyNumberFormat="1" applyFont="1" applyFill="1" applyBorder="1" applyAlignment="1">
      <alignment horizontal="right" vertical="center"/>
    </xf>
    <xf numFmtId="4" fontId="5" fillId="0" borderId="6" xfId="2" quotePrefix="1" applyNumberFormat="1" applyFont="1" applyFill="1" applyBorder="1" applyAlignment="1">
      <alignment horizontal="center" vertical="center"/>
    </xf>
    <xf numFmtId="165" fontId="5" fillId="0" borderId="6" xfId="3" quotePrefix="1" applyFont="1" applyFill="1" applyBorder="1"/>
    <xf numFmtId="4" fontId="4" fillId="0" borderId="6" xfId="2" quotePrefix="1" applyNumberFormat="1" applyFont="1" applyFill="1" applyBorder="1" applyAlignment="1">
      <alignment horizontal="center" vertical="center"/>
    </xf>
    <xf numFmtId="4" fontId="4" fillId="0" borderId="0" xfId="2" applyNumberFormat="1" applyFont="1" applyFill="1" applyAlignment="1">
      <alignment vertical="center"/>
    </xf>
    <xf numFmtId="4" fontId="4" fillId="0" borderId="0" xfId="2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4" fontId="5" fillId="0" borderId="4" xfId="0" applyNumberFormat="1" applyFont="1" applyFill="1" applyBorder="1" applyAlignment="1">
      <alignment wrapText="1"/>
    </xf>
    <xf numFmtId="164" fontId="5" fillId="0" borderId="6" xfId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71" fontId="4" fillId="0" borderId="6" xfId="10" applyNumberFormat="1" applyFont="1" applyFill="1" applyBorder="1"/>
    <xf numFmtId="0" fontId="27" fillId="2" borderId="0" xfId="0" applyFont="1" applyFill="1"/>
    <xf numFmtId="0" fontId="27" fillId="2" borderId="20" xfId="0" applyFont="1" applyFill="1" applyBorder="1" applyAlignment="1">
      <alignment horizontal="center" vertical="center"/>
    </xf>
    <xf numFmtId="3" fontId="4" fillId="0" borderId="6" xfId="2" applyNumberFormat="1" applyFont="1" applyFill="1" applyBorder="1" applyAlignment="1">
      <alignment horizontal="center" vertical="center"/>
    </xf>
    <xf numFmtId="3" fontId="4" fillId="0" borderId="5" xfId="2" applyNumberFormat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vertical="center"/>
    </xf>
    <xf numFmtId="0" fontId="40" fillId="0" borderId="0" xfId="16" applyFont="1"/>
    <xf numFmtId="0" fontId="39" fillId="0" borderId="9" xfId="16" applyFont="1" applyBorder="1"/>
    <xf numFmtId="0" fontId="39" fillId="0" borderId="9" xfId="16" applyFont="1" applyBorder="1" applyAlignment="1">
      <alignment horizontal="left" indent="1"/>
    </xf>
    <xf numFmtId="0" fontId="39" fillId="0" borderId="0" xfId="16" applyFont="1"/>
    <xf numFmtId="0" fontId="40" fillId="0" borderId="9" xfId="16" applyFont="1" applyBorder="1"/>
    <xf numFmtId="0" fontId="40" fillId="0" borderId="2" xfId="16" applyFont="1" applyBorder="1"/>
    <xf numFmtId="17" fontId="40" fillId="0" borderId="9" xfId="16" quotePrefix="1" applyNumberFormat="1" applyFont="1" applyBorder="1"/>
    <xf numFmtId="15" fontId="40" fillId="0" borderId="9" xfId="16" quotePrefix="1" applyNumberFormat="1" applyFont="1" applyBorder="1"/>
    <xf numFmtId="0" fontId="39" fillId="0" borderId="39" xfId="16" applyFont="1" applyBorder="1" applyAlignment="1">
      <alignment horizontal="center"/>
    </xf>
    <xf numFmtId="0" fontId="40" fillId="0" borderId="37" xfId="16" applyFont="1" applyBorder="1" applyAlignment="1">
      <alignment horizontal="center"/>
    </xf>
    <xf numFmtId="43" fontId="40" fillId="0" borderId="37" xfId="18" applyFont="1" applyBorder="1"/>
    <xf numFmtId="0" fontId="40" fillId="0" borderId="37" xfId="16" applyFont="1" applyBorder="1"/>
    <xf numFmtId="0" fontId="40" fillId="0" borderId="6" xfId="16" applyFont="1" applyBorder="1" applyAlignment="1">
      <alignment horizontal="center"/>
    </xf>
    <xf numFmtId="43" fontId="40" fillId="0" borderId="6" xfId="18" applyFont="1" applyBorder="1"/>
    <xf numFmtId="0" fontId="40" fillId="0" borderId="6" xfId="16" applyFont="1" applyBorder="1"/>
    <xf numFmtId="0" fontId="40" fillId="0" borderId="31" xfId="16" applyFont="1" applyBorder="1"/>
    <xf numFmtId="43" fontId="40" fillId="0" borderId="31" xfId="18" applyFont="1" applyBorder="1"/>
    <xf numFmtId="0" fontId="39" fillId="0" borderId="0" xfId="16" applyFont="1" applyAlignment="1">
      <alignment horizontal="right" indent="2"/>
    </xf>
    <xf numFmtId="43" fontId="39" fillId="0" borderId="37" xfId="18" applyFont="1" applyBorder="1"/>
    <xf numFmtId="0" fontId="39" fillId="0" borderId="37" xfId="16" applyFont="1" applyBorder="1"/>
    <xf numFmtId="43" fontId="39" fillId="0" borderId="6" xfId="18" applyFont="1" applyBorder="1"/>
    <xf numFmtId="0" fontId="39" fillId="0" borderId="6" xfId="16" applyFont="1" applyBorder="1"/>
    <xf numFmtId="43" fontId="39" fillId="0" borderId="31" xfId="18" applyFont="1" applyBorder="1"/>
    <xf numFmtId="0" fontId="39" fillId="0" borderId="31" xfId="16" applyFont="1" applyBorder="1"/>
    <xf numFmtId="0" fontId="40" fillId="0" borderId="37" xfId="16" applyFont="1" applyBorder="1" applyAlignment="1">
      <alignment horizontal="left" indent="1"/>
    </xf>
    <xf numFmtId="0" fontId="40" fillId="0" borderId="6" xfId="16" applyFont="1" applyBorder="1" applyAlignment="1">
      <alignment horizontal="left" indent="1"/>
    </xf>
    <xf numFmtId="0" fontId="40" fillId="0" borderId="31" xfId="16" applyFont="1" applyBorder="1" applyAlignment="1">
      <alignment horizontal="left" indent="1"/>
    </xf>
    <xf numFmtId="0" fontId="40" fillId="0" borderId="9" xfId="16" quotePrefix="1" applyFont="1" applyBorder="1"/>
    <xf numFmtId="4" fontId="5" fillId="0" borderId="3" xfId="2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5" xfId="2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5" xfId="2" applyNumberFormat="1" applyFont="1" applyFill="1" applyBorder="1" applyAlignment="1">
      <alignment horizontal="center" vertical="center"/>
    </xf>
    <xf numFmtId="172" fontId="5" fillId="2" borderId="0" xfId="13" applyNumberFormat="1" applyFont="1" applyFill="1" applyAlignment="1"/>
    <xf numFmtId="0" fontId="5" fillId="2" borderId="0" xfId="0" applyFont="1" applyFill="1"/>
    <xf numFmtId="164" fontId="4" fillId="2" borderId="0" xfId="1" applyFont="1" applyFill="1" applyBorder="1" applyAlignment="1">
      <alignment horizontal="center" vertical="center"/>
    </xf>
    <xf numFmtId="174" fontId="4" fillId="2" borderId="0" xfId="1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64" fontId="5" fillId="2" borderId="24" xfId="1" applyFont="1" applyFill="1" applyBorder="1" applyAlignment="1">
      <alignment horizontal="center" vertical="center"/>
    </xf>
    <xf numFmtId="174" fontId="5" fillId="2" borderId="24" xfId="1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64" fontId="5" fillId="2" borderId="27" xfId="1" applyFont="1" applyFill="1" applyBorder="1" applyAlignment="1">
      <alignment horizontal="center" vertical="center"/>
    </xf>
    <xf numFmtId="174" fontId="5" fillId="2" borderId="27" xfId="1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64" fontId="4" fillId="2" borderId="28" xfId="1" applyFont="1" applyFill="1" applyBorder="1" applyAlignment="1">
      <alignment horizontal="left"/>
    </xf>
    <xf numFmtId="0" fontId="5" fillId="2" borderId="28" xfId="0" applyFont="1" applyFill="1" applyBorder="1" applyAlignment="1">
      <alignment horizontal="center"/>
    </xf>
    <xf numFmtId="164" fontId="5" fillId="2" borderId="28" xfId="1" applyFont="1" applyFill="1" applyBorder="1" applyAlignment="1">
      <alignment horizontal="center"/>
    </xf>
    <xf numFmtId="174" fontId="5" fillId="2" borderId="28" xfId="1" applyNumberFormat="1" applyFont="1" applyFill="1" applyBorder="1" applyAlignment="1">
      <alignment horizontal="center"/>
    </xf>
    <xf numFmtId="175" fontId="5" fillId="2" borderId="18" xfId="1" applyNumberFormat="1" applyFont="1" applyFill="1" applyBorder="1" applyAlignment="1">
      <alignment horizontal="center" vertical="center"/>
    </xf>
    <xf numFmtId="164" fontId="5" fillId="2" borderId="29" xfId="1" applyFont="1" applyFill="1" applyBorder="1" applyAlignment="1">
      <alignment horizontal="left"/>
    </xf>
    <xf numFmtId="175" fontId="5" fillId="2" borderId="18" xfId="1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64" fontId="5" fillId="2" borderId="18" xfId="1" applyFont="1" applyFill="1" applyBorder="1" applyAlignment="1">
      <alignment horizontal="center"/>
    </xf>
    <xf numFmtId="174" fontId="5" fillId="2" borderId="18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43" fontId="5" fillId="2" borderId="0" xfId="0" applyNumberFormat="1" applyFont="1" applyFill="1"/>
    <xf numFmtId="164" fontId="5" fillId="2" borderId="18" xfId="1" applyFont="1" applyFill="1" applyBorder="1" applyAlignment="1"/>
    <xf numFmtId="164" fontId="5" fillId="2" borderId="18" xfId="1" quotePrefix="1" applyFont="1" applyFill="1" applyBorder="1" applyAlignment="1">
      <alignment horizontal="left" wrapText="1"/>
    </xf>
    <xf numFmtId="0" fontId="5" fillId="2" borderId="30" xfId="1" applyNumberFormat="1" applyFont="1" applyFill="1" applyBorder="1" applyAlignment="1">
      <alignment horizontal="left"/>
    </xf>
    <xf numFmtId="0" fontId="5" fillId="2" borderId="30" xfId="0" applyFont="1" applyFill="1" applyBorder="1" applyAlignment="1">
      <alignment horizontal="center"/>
    </xf>
    <xf numFmtId="164" fontId="5" fillId="2" borderId="30" xfId="1" applyFont="1" applyFill="1" applyBorder="1" applyAlignment="1">
      <alignment horizontal="center"/>
    </xf>
    <xf numFmtId="174" fontId="5" fillId="2" borderId="30" xfId="1" applyNumberFormat="1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164" fontId="4" fillId="2" borderId="31" xfId="1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164" fontId="5" fillId="2" borderId="31" xfId="1" applyFont="1" applyFill="1" applyBorder="1" applyAlignment="1">
      <alignment horizontal="center"/>
    </xf>
    <xf numFmtId="174" fontId="4" fillId="2" borderId="31" xfId="1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right"/>
    </xf>
    <xf numFmtId="164" fontId="5" fillId="2" borderId="4" xfId="1" applyFont="1" applyFill="1" applyBorder="1" applyAlignment="1">
      <alignment horizontal="center"/>
    </xf>
    <xf numFmtId="176" fontId="4" fillId="2" borderId="11" xfId="1" applyNumberFormat="1" applyFont="1" applyFill="1" applyBorder="1" applyAlignment="1">
      <alignment horizontal="center" vertical="center"/>
    </xf>
    <xf numFmtId="164" fontId="4" fillId="2" borderId="21" xfId="1" applyFont="1" applyFill="1" applyBorder="1" applyAlignment="1">
      <alignment horizontal="left"/>
    </xf>
    <xf numFmtId="0" fontId="5" fillId="2" borderId="21" xfId="0" applyFont="1" applyFill="1" applyBorder="1" applyAlignment="1">
      <alignment horizontal="center"/>
    </xf>
    <xf numFmtId="164" fontId="5" fillId="2" borderId="21" xfId="1" applyFont="1" applyFill="1" applyBorder="1" applyAlignment="1">
      <alignment horizontal="center"/>
    </xf>
    <xf numFmtId="164" fontId="5" fillId="2" borderId="12" xfId="1" applyFont="1" applyFill="1" applyBorder="1" applyAlignment="1"/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33" xfId="0" applyFont="1" applyFill="1" applyBorder="1" applyAlignment="1">
      <alignment horizontal="center"/>
    </xf>
    <xf numFmtId="164" fontId="5" fillId="2" borderId="0" xfId="1" applyFont="1" applyFill="1" applyBorder="1" applyAlignment="1"/>
    <xf numFmtId="164" fontId="5" fillId="2" borderId="33" xfId="1" applyFont="1" applyFill="1" applyBorder="1" applyAlignment="1"/>
    <xf numFmtId="0" fontId="5" fillId="2" borderId="20" xfId="2" applyFont="1" applyFill="1" applyBorder="1" applyAlignment="1">
      <alignment horizontal="center" vertical="center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2" borderId="0" xfId="14" applyFont="1" applyFill="1"/>
    <xf numFmtId="0" fontId="5" fillId="2" borderId="33" xfId="14" applyFont="1" applyFill="1" applyBorder="1"/>
    <xf numFmtId="0" fontId="5" fillId="2" borderId="13" xfId="0" applyFont="1" applyFill="1" applyBorder="1" applyAlignment="1">
      <alignment horizontal="center" vertical="center"/>
    </xf>
    <xf numFmtId="164" fontId="5" fillId="2" borderId="9" xfId="1" applyFont="1" applyFill="1" applyBorder="1" applyAlignment="1"/>
    <xf numFmtId="0" fontId="5" fillId="2" borderId="9" xfId="0" applyFont="1" applyFill="1" applyBorder="1"/>
    <xf numFmtId="164" fontId="5" fillId="2" borderId="14" xfId="1" applyFont="1" applyFill="1" applyBorder="1" applyAlignment="1"/>
    <xf numFmtId="0" fontId="41" fillId="2" borderId="6" xfId="0" applyFont="1" applyFill="1" applyBorder="1" applyAlignment="1">
      <alignment horizontal="center" vertical="center"/>
    </xf>
    <xf numFmtId="0" fontId="27" fillId="0" borderId="0" xfId="16" applyFont="1"/>
    <xf numFmtId="43" fontId="5" fillId="0" borderId="19" xfId="17" applyFont="1" applyBorder="1" applyAlignment="1">
      <alignment horizontal="right" vertical="center"/>
    </xf>
    <xf numFmtId="175" fontId="5" fillId="0" borderId="36" xfId="17" applyNumberFormat="1" applyFont="1" applyBorder="1" applyAlignment="1">
      <alignment horizontal="right" vertical="center"/>
    </xf>
    <xf numFmtId="0" fontId="27" fillId="0" borderId="37" xfId="16" applyFont="1" applyBorder="1" applyAlignment="1">
      <alignment horizontal="center"/>
    </xf>
    <xf numFmtId="43" fontId="27" fillId="0" borderId="25" xfId="18" applyFont="1" applyBorder="1" applyAlignment="1"/>
    <xf numFmtId="0" fontId="27" fillId="0" borderId="6" xfId="16" applyFont="1" applyBorder="1" applyAlignment="1">
      <alignment horizontal="center"/>
    </xf>
    <xf numFmtId="43" fontId="27" fillId="0" borderId="8" xfId="18" applyFont="1" applyBorder="1" applyAlignment="1"/>
    <xf numFmtId="0" fontId="27" fillId="0" borderId="31" xfId="16" applyFont="1" applyBorder="1" applyAlignment="1">
      <alignment horizontal="center"/>
    </xf>
    <xf numFmtId="43" fontId="27" fillId="0" borderId="38" xfId="18" applyFont="1" applyBorder="1" applyAlignment="1"/>
    <xf numFmtId="0" fontId="27" fillId="0" borderId="39" xfId="16" applyFont="1" applyBorder="1"/>
    <xf numFmtId="43" fontId="27" fillId="0" borderId="40" xfId="18" applyFont="1" applyBorder="1" applyAlignment="1"/>
    <xf numFmtId="0" fontId="27" fillId="0" borderId="41" xfId="16" applyFont="1" applyBorder="1"/>
    <xf numFmtId="0" fontId="27" fillId="0" borderId="42" xfId="16" applyFont="1" applyBorder="1" applyAlignment="1">
      <alignment horizontal="right" indent="1"/>
    </xf>
    <xf numFmtId="164" fontId="4" fillId="2" borderId="25" xfId="1" applyFont="1" applyFill="1" applyBorder="1" applyAlignment="1">
      <alignment horizontal="left"/>
    </xf>
    <xf numFmtId="164" fontId="4" fillId="2" borderId="32" xfId="1" applyFont="1" applyFill="1" applyBorder="1" applyAlignment="1">
      <alignment horizontal="left"/>
    </xf>
    <xf numFmtId="164" fontId="4" fillId="2" borderId="26" xfId="1" applyFont="1" applyFill="1" applyBorder="1" applyAlignment="1">
      <alignment horizontal="left"/>
    </xf>
    <xf numFmtId="0" fontId="5" fillId="2" borderId="2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33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173" fontId="4" fillId="2" borderId="22" xfId="1" applyNumberFormat="1" applyFont="1" applyFill="1" applyBorder="1" applyAlignment="1">
      <alignment horizontal="center" vertical="center"/>
    </xf>
    <xf numFmtId="164" fontId="4" fillId="2" borderId="22" xfId="1" applyFont="1" applyFill="1" applyBorder="1" applyAlignment="1">
      <alignment horizontal="right" vertical="center"/>
    </xf>
    <xf numFmtId="164" fontId="4" fillId="2" borderId="23" xfId="1" applyFont="1" applyFill="1" applyBorder="1" applyAlignment="1">
      <alignment horizontal="right" vertical="center"/>
    </xf>
    <xf numFmtId="164" fontId="5" fillId="2" borderId="24" xfId="1" applyFont="1" applyFill="1" applyBorder="1" applyAlignment="1">
      <alignment horizontal="center" vertical="center"/>
    </xf>
    <xf numFmtId="164" fontId="5" fillId="2" borderId="27" xfId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64" fontId="5" fillId="2" borderId="25" xfId="1" applyFont="1" applyFill="1" applyBorder="1" applyAlignment="1">
      <alignment horizontal="center" vertical="center"/>
    </xf>
    <xf numFmtId="164" fontId="5" fillId="2" borderId="26" xfId="1" applyFont="1" applyFill="1" applyBorder="1" applyAlignment="1">
      <alignment horizontal="center" vertical="center"/>
    </xf>
    <xf numFmtId="4" fontId="5" fillId="0" borderId="8" xfId="2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5" fillId="0" borderId="4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173" fontId="4" fillId="2" borderId="34" xfId="1" applyNumberFormat="1" applyFont="1" applyFill="1" applyBorder="1" applyAlignment="1">
      <alignment horizontal="left"/>
    </xf>
    <xf numFmtId="173" fontId="4" fillId="2" borderId="22" xfId="1" applyNumberFormat="1" applyFont="1" applyFill="1" applyBorder="1" applyAlignment="1">
      <alignment horizontal="left"/>
    </xf>
    <xf numFmtId="4" fontId="5" fillId="0" borderId="5" xfId="2" applyNumberFormat="1" applyFont="1" applyFill="1" applyBorder="1" applyAlignment="1">
      <alignment horizontal="center" vertical="center"/>
    </xf>
    <xf numFmtId="0" fontId="5" fillId="2" borderId="20" xfId="14" applyFont="1" applyFill="1" applyBorder="1" applyAlignment="1">
      <alignment horizontal="center"/>
    </xf>
    <xf numFmtId="0" fontId="5" fillId="2" borderId="0" xfId="14" applyFont="1" applyFill="1" applyAlignment="1">
      <alignment horizontal="center"/>
    </xf>
    <xf numFmtId="0" fontId="27" fillId="2" borderId="20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0" fontId="27" fillId="2" borderId="2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4" fillId="0" borderId="35" xfId="15" applyFont="1" applyBorder="1" applyAlignment="1">
      <alignment horizontal="center" vertical="center"/>
    </xf>
    <xf numFmtId="0" fontId="5" fillId="0" borderId="19" xfId="15" applyFont="1" applyBorder="1" applyAlignment="1">
      <alignment horizontal="center" vertical="center"/>
    </xf>
    <xf numFmtId="43" fontId="5" fillId="0" borderId="19" xfId="17" applyFont="1" applyBorder="1" applyAlignment="1">
      <alignment horizontal="left" vertical="center"/>
    </xf>
    <xf numFmtId="0" fontId="27" fillId="0" borderId="37" xfId="16" applyFont="1" applyBorder="1"/>
    <xf numFmtId="0" fontId="27" fillId="0" borderId="37" xfId="16" applyFont="1" applyBorder="1" applyAlignment="1">
      <alignment horizontal="center"/>
    </xf>
    <xf numFmtId="43" fontId="5" fillId="0" borderId="36" xfId="17" applyFont="1" applyBorder="1" applyAlignment="1">
      <alignment horizontal="left" vertical="center"/>
    </xf>
    <xf numFmtId="175" fontId="5" fillId="0" borderId="36" xfId="17" applyNumberFormat="1" applyFont="1" applyBorder="1" applyAlignment="1">
      <alignment horizontal="left" vertical="center"/>
    </xf>
    <xf numFmtId="0" fontId="27" fillId="0" borderId="37" xfId="16" applyFont="1" applyBorder="1" applyAlignment="1">
      <alignment horizontal="center" vertical="center"/>
    </xf>
    <xf numFmtId="0" fontId="27" fillId="0" borderId="31" xfId="16" applyFont="1" applyBorder="1" applyAlignment="1">
      <alignment horizontal="center" vertical="center"/>
    </xf>
    <xf numFmtId="0" fontId="27" fillId="0" borderId="24" xfId="16" applyFont="1" applyBorder="1" applyAlignment="1">
      <alignment horizontal="center" vertical="center"/>
    </xf>
    <xf numFmtId="0" fontId="27" fillId="0" borderId="27" xfId="16" applyFont="1" applyBorder="1" applyAlignment="1">
      <alignment horizontal="center" vertical="center"/>
    </xf>
    <xf numFmtId="0" fontId="27" fillId="0" borderId="6" xfId="16" applyFont="1" applyBorder="1" applyAlignment="1">
      <alignment horizontal="left" indent="1"/>
    </xf>
    <xf numFmtId="0" fontId="27" fillId="0" borderId="6" xfId="16" applyFont="1" applyBorder="1" applyAlignment="1">
      <alignment horizontal="center"/>
    </xf>
    <xf numFmtId="0" fontId="27" fillId="0" borderId="31" xfId="16" applyFont="1" applyBorder="1" applyAlignment="1">
      <alignment horizontal="left" indent="1"/>
    </xf>
    <xf numFmtId="0" fontId="27" fillId="0" borderId="31" xfId="16" applyFont="1" applyBorder="1" applyAlignment="1">
      <alignment horizontal="center"/>
    </xf>
    <xf numFmtId="0" fontId="27" fillId="0" borderId="39" xfId="16" applyFont="1" applyBorder="1" applyAlignment="1">
      <alignment horizontal="center"/>
    </xf>
    <xf numFmtId="0" fontId="27" fillId="0" borderId="39" xfId="16" applyFont="1" applyBorder="1" applyAlignment="1">
      <alignment horizontal="left" indent="1"/>
    </xf>
    <xf numFmtId="0" fontId="40" fillId="0" borderId="6" xfId="16" applyFont="1" applyBorder="1" applyAlignment="1">
      <alignment horizontal="left" indent="1"/>
    </xf>
    <xf numFmtId="0" fontId="39" fillId="0" borderId="0" xfId="16" applyFont="1" applyAlignment="1">
      <alignment horizontal="center"/>
    </xf>
    <xf numFmtId="0" fontId="39" fillId="0" borderId="39" xfId="16" applyFont="1" applyBorder="1" applyAlignment="1">
      <alignment horizontal="center"/>
    </xf>
    <xf numFmtId="0" fontId="40" fillId="0" borderId="37" xfId="16" applyFont="1" applyBorder="1" applyAlignment="1">
      <alignment horizontal="left" indent="1"/>
    </xf>
    <xf numFmtId="0" fontId="40" fillId="0" borderId="8" xfId="16" applyFont="1" applyBorder="1" applyAlignment="1">
      <alignment horizontal="left"/>
    </xf>
    <xf numFmtId="0" fontId="40" fillId="0" borderId="2" xfId="16" applyFont="1" applyBorder="1" applyAlignment="1">
      <alignment horizontal="left"/>
    </xf>
    <xf numFmtId="0" fontId="40" fillId="0" borderId="3" xfId="16" applyFont="1" applyBorder="1" applyAlignment="1">
      <alignment horizontal="left"/>
    </xf>
    <xf numFmtId="0" fontId="40" fillId="0" borderId="31" xfId="16" applyFont="1" applyBorder="1" applyAlignment="1">
      <alignment horizontal="left" indent="1"/>
    </xf>
    <xf numFmtId="0" fontId="39" fillId="0" borderId="40" xfId="16" applyFont="1" applyBorder="1" applyAlignment="1">
      <alignment horizontal="center"/>
    </xf>
    <xf numFmtId="0" fontId="39" fillId="0" borderId="41" xfId="16" applyFont="1" applyBorder="1" applyAlignment="1">
      <alignment horizontal="center"/>
    </xf>
    <xf numFmtId="0" fontId="39" fillId="0" borderId="42" xfId="16" applyFont="1" applyBorder="1" applyAlignment="1">
      <alignment horizontal="center"/>
    </xf>
    <xf numFmtId="0" fontId="40" fillId="0" borderId="25" xfId="16" applyFont="1" applyBorder="1" applyAlignment="1">
      <alignment horizontal="left"/>
    </xf>
    <xf numFmtId="0" fontId="40" fillId="0" borderId="32" xfId="16" applyFont="1" applyBorder="1" applyAlignment="1">
      <alignment horizontal="left"/>
    </xf>
    <xf numFmtId="0" fontId="40" fillId="0" borderId="26" xfId="16" applyFont="1" applyBorder="1" applyAlignment="1">
      <alignment horizontal="left"/>
    </xf>
    <xf numFmtId="0" fontId="40" fillId="0" borderId="25" xfId="16" applyFont="1" applyBorder="1"/>
    <xf numFmtId="0" fontId="40" fillId="0" borderId="32" xfId="16" applyFont="1" applyBorder="1"/>
    <xf numFmtId="0" fontId="40" fillId="0" borderId="26" xfId="16" applyFont="1" applyBorder="1"/>
    <xf numFmtId="0" fontId="40" fillId="0" borderId="8" xfId="16" applyFont="1" applyBorder="1" applyAlignment="1">
      <alignment horizontal="center"/>
    </xf>
    <xf numFmtId="0" fontId="40" fillId="0" borderId="2" xfId="16" applyFont="1" applyBorder="1" applyAlignment="1">
      <alignment horizontal="center"/>
    </xf>
    <xf numFmtId="0" fontId="40" fillId="0" borderId="3" xfId="16" applyFont="1" applyBorder="1" applyAlignment="1">
      <alignment horizontal="center"/>
    </xf>
    <xf numFmtId="0" fontId="40" fillId="0" borderId="38" xfId="16" applyFont="1" applyBorder="1" applyAlignment="1">
      <alignment horizontal="center"/>
    </xf>
    <xf numFmtId="0" fontId="40" fillId="0" borderId="43" xfId="16" applyFont="1" applyBorder="1" applyAlignment="1">
      <alignment horizontal="center"/>
    </xf>
    <xf numFmtId="0" fontId="40" fillId="0" borderId="44" xfId="16" applyFont="1" applyBorder="1" applyAlignment="1">
      <alignment horizontal="center"/>
    </xf>
    <xf numFmtId="0" fontId="14" fillId="5" borderId="8" xfId="6" applyFont="1" applyFill="1" applyBorder="1" applyAlignment="1">
      <alignment horizontal="center" vertical="center"/>
    </xf>
    <xf numFmtId="0" fontId="14" fillId="5" borderId="2" xfId="6" applyFont="1" applyFill="1" applyBorder="1" applyAlignment="1">
      <alignment horizontal="center" vertical="center"/>
    </xf>
    <xf numFmtId="0" fontId="14" fillId="5" borderId="3" xfId="6" applyFont="1" applyFill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6" fillId="11" borderId="8" xfId="8" applyFont="1" applyFill="1" applyBorder="1" applyAlignment="1">
      <alignment horizontal="center" vertical="center"/>
    </xf>
    <xf numFmtId="0" fontId="16" fillId="11" borderId="2" xfId="8" applyFont="1" applyFill="1" applyBorder="1" applyAlignment="1">
      <alignment horizontal="center" vertical="center"/>
    </xf>
    <xf numFmtId="0" fontId="16" fillId="11" borderId="3" xfId="8" applyFont="1" applyFill="1" applyBorder="1" applyAlignment="1">
      <alignment horizontal="center" vertical="center"/>
    </xf>
    <xf numFmtId="0" fontId="29" fillId="0" borderId="15" xfId="9" applyFont="1" applyBorder="1" applyAlignment="1">
      <alignment horizontal="center" vertical="center"/>
    </xf>
    <xf numFmtId="0" fontId="29" fillId="0" borderId="16" xfId="9" applyFont="1" applyBorder="1" applyAlignment="1">
      <alignment horizontal="center" vertical="center"/>
    </xf>
    <xf numFmtId="0" fontId="29" fillId="0" borderId="17" xfId="9" applyFont="1" applyBorder="1" applyAlignment="1">
      <alignment horizontal="center" vertical="center"/>
    </xf>
    <xf numFmtId="0" fontId="32" fillId="7" borderId="6" xfId="9" applyFont="1" applyFill="1" applyBorder="1" applyAlignment="1">
      <alignment horizontal="center" vertical="center"/>
    </xf>
    <xf numFmtId="0" fontId="35" fillId="7" borderId="6" xfId="9" applyFont="1" applyFill="1" applyBorder="1" applyAlignment="1">
      <alignment horizontal="center" vertical="center"/>
    </xf>
    <xf numFmtId="175" fontId="42" fillId="0" borderId="0" xfId="20" applyNumberFormat="1" applyFont="1" applyBorder="1" applyAlignment="1">
      <alignment horizontal="center" vertical="center"/>
    </xf>
    <xf numFmtId="0" fontId="43" fillId="0" borderId="0" xfId="16" applyFont="1" applyAlignment="1"/>
    <xf numFmtId="164" fontId="43" fillId="0" borderId="0" xfId="21" applyFont="1" applyAlignment="1"/>
    <xf numFmtId="0" fontId="43" fillId="0" borderId="0" xfId="16" applyFont="1"/>
    <xf numFmtId="175" fontId="42" fillId="0" borderId="0" xfId="20" applyNumberFormat="1" applyFont="1" applyBorder="1" applyAlignment="1">
      <alignment horizontal="center" vertical="center"/>
    </xf>
    <xf numFmtId="177" fontId="42" fillId="0" borderId="0" xfId="22" applyNumberFormat="1" applyFont="1" applyAlignment="1">
      <alignment horizontal="left" vertical="center"/>
    </xf>
    <xf numFmtId="0" fontId="43" fillId="0" borderId="0" xfId="22" applyFont="1" applyBorder="1" applyAlignment="1">
      <alignment vertical="center"/>
    </xf>
    <xf numFmtId="175" fontId="43" fillId="0" borderId="0" xfId="20" applyNumberFormat="1" applyFont="1" applyBorder="1" applyAlignment="1">
      <alignment vertical="center"/>
    </xf>
    <xf numFmtId="0" fontId="43" fillId="0" borderId="0" xfId="22" applyFont="1" applyBorder="1" applyAlignment="1">
      <alignment horizontal="center" vertical="center"/>
    </xf>
    <xf numFmtId="0" fontId="43" fillId="0" borderId="0" xfId="22" applyFont="1" applyAlignment="1">
      <alignment vertical="center"/>
    </xf>
    <xf numFmtId="173" fontId="42" fillId="2" borderId="0" xfId="1" applyNumberFormat="1" applyFont="1" applyFill="1" applyBorder="1" applyAlignment="1">
      <alignment horizontal="left"/>
    </xf>
    <xf numFmtId="175" fontId="43" fillId="0" borderId="0" xfId="20" applyNumberFormat="1" applyFont="1" applyBorder="1" applyAlignment="1">
      <alignment horizontal="left" vertical="center"/>
    </xf>
    <xf numFmtId="0" fontId="43" fillId="0" borderId="0" xfId="22" applyFont="1" applyBorder="1" applyAlignment="1">
      <alignment horizontal="center"/>
    </xf>
    <xf numFmtId="0" fontId="43" fillId="2" borderId="0" xfId="0" applyFont="1" applyFill="1"/>
    <xf numFmtId="173" fontId="42" fillId="2" borderId="22" xfId="1" applyNumberFormat="1" applyFont="1" applyFill="1" applyBorder="1" applyAlignment="1">
      <alignment horizontal="center" vertical="center"/>
    </xf>
    <xf numFmtId="164" fontId="42" fillId="2" borderId="0" xfId="1" applyFont="1" applyFill="1" applyBorder="1" applyAlignment="1">
      <alignment horizontal="center" vertical="center"/>
    </xf>
    <xf numFmtId="174" fontId="42" fillId="2" borderId="0" xfId="1" applyNumberFormat="1" applyFont="1" applyFill="1" applyBorder="1" applyAlignment="1">
      <alignment horizontal="center" vertical="center"/>
    </xf>
    <xf numFmtId="164" fontId="42" fillId="2" borderId="22" xfId="1" applyFont="1" applyFill="1" applyBorder="1" applyAlignment="1">
      <alignment horizontal="left" vertical="center"/>
    </xf>
    <xf numFmtId="164" fontId="42" fillId="2" borderId="23" xfId="1" applyFont="1" applyFill="1" applyBorder="1" applyAlignment="1">
      <alignment horizontal="left" vertical="center"/>
    </xf>
    <xf numFmtId="172" fontId="43" fillId="2" borderId="0" xfId="13" applyNumberFormat="1" applyFont="1" applyFill="1" applyAlignment="1"/>
    <xf numFmtId="164" fontId="5" fillId="2" borderId="32" xfId="1" applyFont="1" applyFill="1" applyBorder="1" applyAlignment="1">
      <alignment horizontal="center" vertical="center"/>
    </xf>
    <xf numFmtId="164" fontId="5" fillId="2" borderId="34" xfId="1" applyFont="1" applyFill="1" applyBorder="1" applyAlignment="1">
      <alignment horizontal="center" vertical="center"/>
    </xf>
    <xf numFmtId="164" fontId="5" fillId="2" borderId="45" xfId="1" applyFont="1" applyFill="1" applyBorder="1" applyAlignment="1">
      <alignment horizontal="center" vertical="center"/>
    </xf>
    <xf numFmtId="164" fontId="5" fillId="2" borderId="46" xfId="1" applyFont="1" applyFill="1" applyBorder="1" applyAlignment="1">
      <alignment horizontal="center" vertical="center"/>
    </xf>
  </cellXfs>
  <cellStyles count="23">
    <cellStyle name="Comma" xfId="1" builtinId="3"/>
    <cellStyle name="Comma 2" xfId="18"/>
    <cellStyle name="Comma 2 2" xfId="20"/>
    <cellStyle name="Comma 2 3" xfId="19"/>
    <cellStyle name="Comma 3" xfId="21"/>
    <cellStyle name="Comma 45" xfId="12"/>
    <cellStyle name="Comma 6" xfId="17"/>
    <cellStyle name="Comma 69" xfId="7"/>
    <cellStyle name="Hyperlink" xfId="4" builtinId="8"/>
    <cellStyle name="Normal" xfId="0" builtinId="0"/>
    <cellStyle name="Normal 10" xfId="2"/>
    <cellStyle name="Normal 2" xfId="10"/>
    <cellStyle name="Normal 28" xfId="5"/>
    <cellStyle name="Normal 3" xfId="16"/>
    <cellStyle name="Normal 4 2 3" xfId="22"/>
    <cellStyle name="Normal 44" xfId="9"/>
    <cellStyle name="Normal 5 2 2" xfId="3"/>
    <cellStyle name="Normal 6" xfId="15"/>
    <cellStyle name="Normal_UNITCOST 2 2" xfId="8"/>
    <cellStyle name="Percent 37" xfId="11"/>
    <cellStyle name="Percent 4" xfId="13"/>
    <cellStyle name="ปกติ_ราคากลางบางเหนียวดำ" xfId="6"/>
    <cellStyle name="ปกติ_สรุปผลการประมาณราคา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304036</xdr:colOff>
      <xdr:row>0</xdr:row>
      <xdr:rowOff>79511</xdr:rowOff>
    </xdr:from>
    <xdr:to>
      <xdr:col>9</xdr:col>
      <xdr:colOff>1016678</xdr:colOff>
      <xdr:row>3</xdr:row>
      <xdr:rowOff>117611</xdr:rowOff>
    </xdr:to>
    <xdr:sp macro="" textlink="">
      <xdr:nvSpPr>
        <xdr:cNvPr id="2" name="Rectangle 1"/>
        <xdr:cNvSpPr/>
      </xdr:nvSpPr>
      <xdr:spPr>
        <a:xfrm>
          <a:off x="9089448" y="79511"/>
          <a:ext cx="3278789" cy="91215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18</xdr:row>
      <xdr:rowOff>38101</xdr:rowOff>
    </xdr:from>
    <xdr:to>
      <xdr:col>3</xdr:col>
      <xdr:colOff>1219201</xdr:colOff>
      <xdr:row>37</xdr:row>
      <xdr:rowOff>223565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6" y="4495801"/>
          <a:ext cx="4248150" cy="4890814"/>
        </a:xfrm>
        <a:prstGeom prst="rect">
          <a:avLst/>
        </a:prstGeom>
      </xdr:spPr>
    </xdr:pic>
    <xdr:clientData/>
  </xdr:twoCellAnchor>
  <xdr:twoCellAnchor editAs="oneCell">
    <xdr:from>
      <xdr:col>5</xdr:col>
      <xdr:colOff>11207</xdr:colOff>
      <xdr:row>0</xdr:row>
      <xdr:rowOff>56029</xdr:rowOff>
    </xdr:from>
    <xdr:to>
      <xdr:col>18</xdr:col>
      <xdr:colOff>156320</xdr:colOff>
      <xdr:row>16</xdr:row>
      <xdr:rowOff>150722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2383" y="56029"/>
          <a:ext cx="8011643" cy="40391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04%20&#3591;&#3634;&#3609;&#3588;&#3635;&#3609;&#3623;&#3603;&#3619;&#3634;&#3588;&#3634;&#3585;&#3621;&#3634;&#3591;&#3591;&#3634;&#3609;&#3585;&#3656;&#3629;&#3626;&#3619;&#3657;&#3634;&#3591;\12%20&#3619;&#3634;&#3588;&#3634;&#3585;&#3621;&#3634;&#3591;&#3611;&#3637;&#3591;&#3610;&#3611;&#3619;&#3632;&#3617;&#3634;&#3603;%202565\Users\worrawotp\Desktop\&#3619;&#3634;&#3588;&#3634;&#3611;&#3619;&#3633;&#3610;&#3611;&#3619;&#3640;&#3591;%20&#3588;&#3633;&#3609;&#3611;&#3657;&#3629;&#3591;&#3585;&#3633;&#3609;&#3609;&#3657;&#3635;&#3607;&#3656;&#3623;&#3617;%20_&#3592;&#3634;&#3585;W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oBsHaring/backup/My%20Documents/&#3611;&#3619;&#3632;&#3617;&#3634;&#3603;&#3619;&#3634;&#3588;&#3634;/&#3626;&#3606;&#3634;&#3610;&#3633;&#3609;&#3614;&#3639;&#3656;&#3629;&#3585;&#3634;&#3619;&#3618;&#3640;&#3605;&#3636;&#3608;&#3619;&#3619;&#3617;%20(T%20I%20J)/&#3619;&#3634;&#3588;&#3634;&#3585;&#3621;&#3634;&#3591;/&#3619;&#3634;&#3588;&#3634;&#3585;&#3621;&#3634;&#3591;%20T%20I%20J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thaipatt/Desktop/&#3591;&#3634;&#3609;/&#3591;&#3634;&#3609;&#3594;&#3639;&#3656;&#3629;/&#3619;&#3634;&#3588;&#3634;&#3585;&#3621;&#3634;&#3591;/&#3650;&#3588;&#3619;&#3591;&#3585;&#3634;&#3619;/&#3611;&#3637;&#3591;&#3610;%202568/&#3650;&#3588;&#3619;&#3591;&#3585;&#3634;&#3619;&#3619;&#3634;&#3591;&#3619;&#3632;&#3610;&#3634;&#3618;&#3607;&#3656;&#3634;&#3648;&#3607;&#3637;&#3618;&#3610;&#3648;&#3619;&#3639;&#3629;&#3605;&#3619;&#3623;&#3592;&#3585;&#3634;&#3619;&#3603;&#3660;/680502%20&#3650;&#3588;&#3619;&#3591;&#3585;&#3634;&#3619;&#3585;&#3656;&#3629;&#3626;&#3619;&#3657;&#3634;&#3591;&#3619;&#3634;&#3591;&#3619;&#3632;&#3610;&#3634;&#3618;&#3609;&#3657;&#3635;&#3613;&#3609;&#3606;&#3609;&#3609;&#3607;&#3634;&#3591;&#3648;&#3586;&#365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9;&#3634;&#3588;&#3634;&#3585;&#3621;&#3634;&#3591;%20&#3585;&#3634;&#3619;&#3609;&#3636;&#3588;&#3617;%20&#3611;&#3637;%2069\&#3591;&#3634;&#3609;&#3613;&#3634;&#3618;\111268%20&#3619;&#3634;&#3588;&#3634;&#3585;&#3621;&#3634;&#3591;%20&#3610;&#3656;&#3629;&#3604;&#3633;&#3585;&#3605;&#3632;&#3585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INPUT"/>
      <sheetName val="ปก"/>
      <sheetName val="สารบัญ"/>
      <sheetName val="สารบัญ2"/>
      <sheetName val="รายละเอียดโครงการ"/>
      <sheetName val="คำอธิบาย"/>
      <sheetName val="v3,4"/>
      <sheetName val="v5"/>
      <sheetName val="ท่อ+HW"/>
      <sheetName val="Cut&amp;Fill"/>
      <sheetName val="ทางเชื่อม"/>
      <sheetName val="Traffic"/>
      <sheetName val="Form งานชล"/>
      <sheetName val="เอกสารแหล่งวัสดุ"/>
      <sheetName val="เอกสารแสดงราคาต่อหน่วย_1"/>
      <sheetName val="แหล่งวัสดุ"/>
      <sheetName val="แหล่งวัสดุจาก soil"/>
      <sheetName val="ตารางสรุปผลการทดสอบแหล่งวัสดุ"/>
      <sheetName val="แหล่งดินหินทราย"/>
      <sheetName val="สำนักดัชนีเศรษฐกิจการค้า กทม."/>
      <sheetName val="แหล่งวัสดุงานเสาเข็ม"/>
      <sheetName val="ตารางคอนกรีตและหิน"/>
      <sheetName val="งานรื้อย้าย"/>
      <sheetName val="งานดิน"/>
      <sheetName val="งานระบบป้องกันน้ำ"/>
      <sheetName val="ราคาต่อหน่วยTYPEต่างๆ"/>
      <sheetName val="ราคาต่อหน่วยประตูน้ำ&amp;Ramp"/>
      <sheetName val="ราคาต่อหน่วยปรับปรุงท่อ"/>
      <sheetName val="สรุปOHCชลประ"/>
      <sheetName val="สรุปOHCทาง,สะพาน"/>
      <sheetName val="ตารางขนส่ง(1)"/>
      <sheetName val="ตารางขนส่ง (2)"/>
      <sheetName val="FactorF งานชลประทาน"/>
      <sheetName val="Factor F ชล"/>
      <sheetName val="fbride"/>
      <sheetName val="หา FACTORF"/>
      <sheetName val="นับความยาว"/>
      <sheetName val="ข้อผิดพลาด"/>
      <sheetName val="Cut&amp;Fill นิคม"/>
      <sheetName val="สรุป ปร5"/>
      <sheetName val="ปร.4-33"/>
      <sheetName val="ปร.4-2"/>
      <sheetName val="V1,2"/>
      <sheetName val="BARRIER"/>
      <sheetName val="froad"/>
      <sheetName val="สรุปOHCโครงสร้า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(ใช้ราคาเฉลี่ยน้ำมันที่อำเภอเมือง ลิตรละ   29.5    บาท  หาค่าขนส่ง,ค่าดำเนินการและค่าเสื่อมราคา)</v>
          </cell>
        </row>
        <row r="53">
          <cell r="J53">
            <v>24.743410000000001</v>
          </cell>
        </row>
        <row r="81">
          <cell r="J81">
            <v>1423.441346366367</v>
          </cell>
        </row>
        <row r="82">
          <cell r="J82">
            <v>1423.441346366367</v>
          </cell>
        </row>
        <row r="84">
          <cell r="J84">
            <v>1523.441346366367</v>
          </cell>
        </row>
        <row r="91">
          <cell r="J91">
            <v>5.3409999999999999E-2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>
        <row r="5">
          <cell r="D5">
            <v>16000</v>
          </cell>
          <cell r="E5">
            <v>3000</v>
          </cell>
          <cell r="F5">
            <v>300</v>
          </cell>
        </row>
        <row r="9">
          <cell r="D9">
            <v>21000</v>
          </cell>
          <cell r="E9">
            <v>4000</v>
          </cell>
          <cell r="F9">
            <v>300</v>
          </cell>
        </row>
        <row r="11">
          <cell r="D11" t="str">
            <v>ไม่มี</v>
          </cell>
          <cell r="E11" t="str">
            <v>ไม่มี</v>
          </cell>
        </row>
        <row r="16">
          <cell r="D16">
            <v>1600</v>
          </cell>
          <cell r="E16">
            <v>700</v>
          </cell>
          <cell r="F16">
            <v>150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 6(0%)"/>
      <sheetName val="ปร 5 (ก)0%"/>
      <sheetName val="ปร 5 (ข)"/>
      <sheetName val="สรุป"/>
      <sheetName val="สำนักงาน-15และ 16"/>
      <sheetName val="SAN"/>
      <sheetName val="EE"/>
      <sheetName val="ปรับอากาศ(งานตกแต่งภายใน)"/>
      <sheetName val="ครุภัณฑ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BOQ"/>
      <sheetName val="ปร.4(พ)"/>
      <sheetName val="เหตุผลฯ"/>
      <sheetName val="Sheet1"/>
      <sheetName val="backup new"/>
      <sheetName val="BACKUP"/>
      <sheetName val="ปร.6"/>
      <sheetName val="ปร.5(ก)"/>
      <sheetName val="งานเพิ่มลด"/>
      <sheetName val="Factor-F "/>
      <sheetName val="Sheet2"/>
    </sheetNames>
    <sheetDataSet>
      <sheetData sheetId="0"/>
      <sheetData sheetId="1"/>
      <sheetData sheetId="2">
        <row r="15">
          <cell r="G15"/>
        </row>
      </sheetData>
      <sheetData sheetId="3">
        <row r="4">
          <cell r="B4" t="str">
            <v>ค่าพาหนะไป-กลับของคนงาน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สรุปราคา F"/>
      <sheetName val="Factor-F"/>
      <sheetName val="สรุปราคา"/>
      <sheetName val="ปริมาณงาน"/>
      <sheetName val="สูตร"/>
      <sheetName val="Sheet1"/>
      <sheetName val="ราคาต่อหน่วยชลประทาน"/>
      <sheetName val="บัญชีราคาต่อหน่วยชลประทาน"/>
      <sheetName val="F ชล ตกชุก 1,2"/>
      <sheetName val="อัตราราคางานดิน"/>
      <sheetName val="อัตราราคาระเบิดหิน"/>
      <sheetName val="อัตรางานคอนกรีตหิน"/>
      <sheetName val="ราคาต่อหน่วยอาคาร"/>
      <sheetName val="ระยะทางและค่าขนส่ง"/>
      <sheetName val="วัสดุ+ค่าขนส่ง"/>
      <sheetName val="ราคาวัสดุก่อสร้าง ใส่"/>
      <sheetName val="ราคาวัสดุก่อสร้างระยอง"/>
      <sheetName val="ราคาวัสดุก่อสร้างส่วนกลาง"/>
      <sheetName val="ค่าขนส่ง"/>
      <sheetName val="ค่าบดอัดเบา"/>
      <sheetName val="บัญชีค่าแรงงาน"/>
      <sheetName val="อัตราค่าจ้างขั้นต่ำ"/>
      <sheetName val="ส่วนขยาย ยุบตัว"/>
      <sheetName val="น้ำหนักวัสดุ"/>
      <sheetName val="ปริมาณงานดิน"/>
      <sheetName val="ปริมาณงานดินแก้ไข"/>
      <sheetName val="ตารางปริมาณงาน"/>
      <sheetName val="ปร.2"/>
      <sheetName val="งานผันน้ำ"/>
      <sheetName val="นั่งร้าน"/>
      <sheetName val="ระยะเวลาก่อสร้าง"/>
      <sheetName val="คำนวณงานต่อหน่วย"/>
      <sheetName val="งานไม้แบ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F6">
            <v>1.28</v>
          </cell>
        </row>
        <row r="8">
          <cell r="F8">
            <v>29.78</v>
          </cell>
        </row>
        <row r="11">
          <cell r="F11">
            <v>18.59</v>
          </cell>
        </row>
        <row r="24">
          <cell r="F24">
            <v>374.89</v>
          </cell>
        </row>
        <row r="32">
          <cell r="F32">
            <v>1460.09</v>
          </cell>
        </row>
        <row r="38">
          <cell r="F38">
            <v>197.25457340000003</v>
          </cell>
        </row>
        <row r="41">
          <cell r="F41">
            <v>1419.9454981930267</v>
          </cell>
        </row>
        <row r="42">
          <cell r="F42">
            <v>230</v>
          </cell>
        </row>
        <row r="43">
          <cell r="F43">
            <v>69.1053584</v>
          </cell>
        </row>
        <row r="45">
          <cell r="F45">
            <v>613.03</v>
          </cell>
        </row>
      </sheetData>
      <sheetData sheetId="9" refreshError="1"/>
      <sheetData sheetId="10" refreshError="1">
        <row r="7">
          <cell r="G7">
            <v>1.28</v>
          </cell>
        </row>
        <row r="8">
          <cell r="G8">
            <v>2.62</v>
          </cell>
        </row>
        <row r="10">
          <cell r="G10">
            <v>20.66</v>
          </cell>
        </row>
        <row r="11">
          <cell r="G11">
            <v>55.92</v>
          </cell>
        </row>
        <row r="14">
          <cell r="G14">
            <v>25.12</v>
          </cell>
        </row>
        <row r="15">
          <cell r="G15">
            <v>18.48</v>
          </cell>
        </row>
        <row r="16">
          <cell r="G16">
            <v>18.59</v>
          </cell>
        </row>
        <row r="17">
          <cell r="G17">
            <v>9.0399999999999991</v>
          </cell>
        </row>
        <row r="19">
          <cell r="G19">
            <v>33.119999999999997</v>
          </cell>
        </row>
        <row r="20">
          <cell r="G20">
            <v>41.65</v>
          </cell>
        </row>
        <row r="22">
          <cell r="G22">
            <v>29.07</v>
          </cell>
        </row>
        <row r="23">
          <cell r="G23">
            <v>72.959999999999994</v>
          </cell>
        </row>
        <row r="24">
          <cell r="G24">
            <v>60.9</v>
          </cell>
        </row>
        <row r="27">
          <cell r="G27">
            <v>40.630000000000003</v>
          </cell>
        </row>
        <row r="29">
          <cell r="G29">
            <v>43.02</v>
          </cell>
        </row>
        <row r="30">
          <cell r="G30">
            <v>46.6</v>
          </cell>
        </row>
        <row r="32">
          <cell r="G32">
            <v>47.49</v>
          </cell>
        </row>
        <row r="33">
          <cell r="G33">
            <v>51.1</v>
          </cell>
        </row>
      </sheetData>
      <sheetData sheetId="11" refreshError="1">
        <row r="36">
          <cell r="D36">
            <v>157.03</v>
          </cell>
        </row>
        <row r="39">
          <cell r="D39">
            <v>108.77</v>
          </cell>
        </row>
        <row r="42">
          <cell r="D42">
            <v>69.930000000000007</v>
          </cell>
        </row>
        <row r="45">
          <cell r="D45">
            <v>184.51</v>
          </cell>
        </row>
        <row r="47">
          <cell r="D47">
            <v>149.76</v>
          </cell>
        </row>
        <row r="49">
          <cell r="D49">
            <v>150.5</v>
          </cell>
        </row>
      </sheetData>
      <sheetData sheetId="12" refreshError="1">
        <row r="23">
          <cell r="F23">
            <v>2750.4899999999993</v>
          </cell>
          <cell r="L23">
            <v>2992.4700000000003</v>
          </cell>
          <cell r="P23">
            <v>3200.5299999999997</v>
          </cell>
          <cell r="V23">
            <v>2936.4399999999996</v>
          </cell>
          <cell r="X23">
            <v>2242.69</v>
          </cell>
          <cell r="AB23">
            <v>1460.09</v>
          </cell>
          <cell r="AD23">
            <v>1610.6899999999998</v>
          </cell>
          <cell r="AF23">
            <v>2723.66</v>
          </cell>
          <cell r="AH23">
            <v>1133.04</v>
          </cell>
        </row>
      </sheetData>
      <sheetData sheetId="13" refreshError="1"/>
      <sheetData sheetId="14" refreshError="1"/>
      <sheetData sheetId="15" refreshError="1">
        <row r="4">
          <cell r="J4">
            <v>22.17</v>
          </cell>
        </row>
        <row r="11">
          <cell r="J11">
            <v>21.49184</v>
          </cell>
        </row>
        <row r="18">
          <cell r="I18">
            <v>1864.0251232000001</v>
          </cell>
        </row>
        <row r="19">
          <cell r="I19">
            <v>2330.0239040000001</v>
          </cell>
        </row>
        <row r="20">
          <cell r="I20">
            <v>3296.3412640000001</v>
          </cell>
        </row>
        <row r="21">
          <cell r="I21">
            <v>2796.0326848</v>
          </cell>
        </row>
        <row r="22">
          <cell r="I22">
            <v>4944.5068959999999</v>
          </cell>
        </row>
        <row r="23">
          <cell r="I23">
            <v>3728.0402463999999</v>
          </cell>
        </row>
        <row r="24">
          <cell r="I24">
            <v>7202.6836543999998</v>
          </cell>
        </row>
        <row r="25">
          <cell r="I25">
            <v>8513.4894015999998</v>
          </cell>
        </row>
        <row r="26">
          <cell r="I26">
            <v>9631.5494399999989</v>
          </cell>
        </row>
        <row r="27">
          <cell r="I27">
            <v>13499.02146</v>
          </cell>
        </row>
        <row r="28">
          <cell r="I28">
            <v>17839.26456</v>
          </cell>
        </row>
        <row r="29">
          <cell r="K29">
            <v>22.939809553579479</v>
          </cell>
        </row>
        <row r="47">
          <cell r="K47">
            <v>20168.867580840721</v>
          </cell>
        </row>
        <row r="70">
          <cell r="I70">
            <v>562.49</v>
          </cell>
        </row>
        <row r="72">
          <cell r="I72">
            <v>786.79000000000008</v>
          </cell>
        </row>
        <row r="75">
          <cell r="I75">
            <v>932.02</v>
          </cell>
        </row>
        <row r="79">
          <cell r="I79">
            <v>104.88431111201251</v>
          </cell>
        </row>
        <row r="80">
          <cell r="I80">
            <v>569.05718979965388</v>
          </cell>
        </row>
        <row r="81">
          <cell r="I81">
            <v>859.48444445007817</v>
          </cell>
        </row>
        <row r="82">
          <cell r="I82">
            <v>1207.3191199057846</v>
          </cell>
        </row>
        <row r="83">
          <cell r="I83">
            <v>1944.2504653195331</v>
          </cell>
        </row>
        <row r="84">
          <cell r="I84">
            <v>2817.2712260408994</v>
          </cell>
        </row>
        <row r="85">
          <cell r="I85">
            <v>3970.3114020698831</v>
          </cell>
        </row>
        <row r="86">
          <cell r="I86">
            <v>5713.7428288375359</v>
          </cell>
        </row>
        <row r="87">
          <cell r="I87">
            <v>7346.7300000507039</v>
          </cell>
        </row>
        <row r="88">
          <cell r="I88">
            <v>10353.311876480728</v>
          </cell>
        </row>
        <row r="89">
          <cell r="I89">
            <v>13294.228458127609</v>
          </cell>
        </row>
        <row r="90">
          <cell r="I90">
            <v>19210.747500114081</v>
          </cell>
        </row>
        <row r="92">
          <cell r="I92">
            <v>851.15718979965391</v>
          </cell>
        </row>
        <row r="93">
          <cell r="I93">
            <v>1284.0644444500781</v>
          </cell>
        </row>
        <row r="94">
          <cell r="I94">
            <v>1804.6091199057846</v>
          </cell>
        </row>
        <row r="95">
          <cell r="I95">
            <v>3074.0604653195333</v>
          </cell>
        </row>
        <row r="96">
          <cell r="I96">
            <v>4623.5312260408991</v>
          </cell>
        </row>
        <row r="97">
          <cell r="I97">
            <v>6553.7714020698832</v>
          </cell>
        </row>
        <row r="98">
          <cell r="I98">
            <v>8808.1328288375353</v>
          </cell>
        </row>
        <row r="99">
          <cell r="I99">
            <v>11074.390000050702</v>
          </cell>
        </row>
        <row r="100">
          <cell r="I100">
            <v>16110.321876480728</v>
          </cell>
        </row>
        <row r="101">
          <cell r="I101">
            <v>19770.86845812761</v>
          </cell>
        </row>
        <row r="102">
          <cell r="I102">
            <v>28565.88750011408</v>
          </cell>
        </row>
        <row r="116">
          <cell r="I116">
            <v>60.091616000000002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D6">
            <v>113.57</v>
          </cell>
        </row>
      </sheetData>
      <sheetData sheetId="21" refreshError="1">
        <row r="26">
          <cell r="D26">
            <v>548</v>
          </cell>
        </row>
        <row r="27">
          <cell r="D27">
            <v>678</v>
          </cell>
        </row>
        <row r="30">
          <cell r="D30">
            <v>1080</v>
          </cell>
        </row>
        <row r="33">
          <cell r="D33">
            <v>1525</v>
          </cell>
        </row>
        <row r="36">
          <cell r="D36">
            <v>1830</v>
          </cell>
        </row>
        <row r="39">
          <cell r="D39">
            <v>2070</v>
          </cell>
        </row>
        <row r="83">
          <cell r="D83">
            <v>180</v>
          </cell>
        </row>
        <row r="84">
          <cell r="D84">
            <v>200</v>
          </cell>
        </row>
        <row r="85">
          <cell r="D85">
            <v>250</v>
          </cell>
        </row>
        <row r="86">
          <cell r="D86">
            <v>280</v>
          </cell>
        </row>
        <row r="88">
          <cell r="D88">
            <v>300</v>
          </cell>
        </row>
        <row r="90">
          <cell r="D90">
            <v>320</v>
          </cell>
        </row>
        <row r="116">
          <cell r="D116">
            <v>398</v>
          </cell>
        </row>
        <row r="126">
          <cell r="D126">
            <v>115</v>
          </cell>
        </row>
        <row r="128">
          <cell r="D128">
            <v>154</v>
          </cell>
        </row>
      </sheetData>
      <sheetData sheetId="22" refreshError="1">
        <row r="4">
          <cell r="G4">
            <v>400</v>
          </cell>
        </row>
      </sheetData>
      <sheetData sheetId="23" refreshError="1">
        <row r="7">
          <cell r="C7">
            <v>1.25</v>
          </cell>
          <cell r="D7">
            <v>1.4</v>
          </cell>
        </row>
        <row r="8">
          <cell r="C8">
            <v>1.25</v>
          </cell>
          <cell r="D8">
            <v>1.6</v>
          </cell>
        </row>
        <row r="10">
          <cell r="C10">
            <v>1.25</v>
          </cell>
          <cell r="D10">
            <v>1.5</v>
          </cell>
        </row>
        <row r="11">
          <cell r="C11">
            <v>1.25</v>
          </cell>
          <cell r="D11">
            <v>1.65</v>
          </cell>
        </row>
        <row r="13">
          <cell r="C13">
            <v>1.7</v>
          </cell>
        </row>
        <row r="14">
          <cell r="D14">
            <v>1.6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44">
          <cell r="J44">
            <v>171.52571600000002</v>
          </cell>
        </row>
      </sheetData>
      <sheetData sheetId="3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bfastshop.com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www.onestockhome.com/th/products/24005407/elastic-filler_office-equipments?srsltid=AfmBOoq3dvIJ7sXLXKIlZzLDKJPE8dOjnU9jcblZH4MMZurYV8OUmzeS" TargetMode="External"/><Relationship Id="rId1" Type="http://schemas.openxmlformats.org/officeDocument/2006/relationships/hyperlink" Target="http://www.bfastshop.com/" TargetMode="Externa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view="pageBreakPreview" zoomScale="85" zoomScaleNormal="100" zoomScaleSheetLayoutView="85" workbookViewId="0">
      <selection activeCell="J15" sqref="J15"/>
    </sheetView>
  </sheetViews>
  <sheetFormatPr defaultColWidth="8.140625" defaultRowHeight="21"/>
  <cols>
    <col min="1" max="1" width="12.42578125" style="126" customWidth="1"/>
    <col min="2" max="2" width="65.42578125" style="125" customWidth="1"/>
    <col min="3" max="3" width="8.7109375" style="126" bestFit="1" customWidth="1"/>
    <col min="4" max="4" width="9.85546875" style="127" bestFit="1" customWidth="1"/>
    <col min="5" max="6" width="17.7109375" style="127" customWidth="1"/>
    <col min="7" max="7" width="14.42578125" style="127" customWidth="1"/>
    <col min="8" max="8" width="23.85546875" style="127" customWidth="1"/>
    <col min="9" max="9" width="0.140625" style="127" customWidth="1"/>
    <col min="10" max="10" width="21.140625" style="125" customWidth="1"/>
    <col min="11" max="11" width="11.28515625" style="125" customWidth="1"/>
    <col min="12" max="12" width="14.7109375" style="125" customWidth="1"/>
    <col min="13" max="13" width="8.7109375" style="125" bestFit="1" customWidth="1"/>
    <col min="14" max="15" width="8.28515625" style="125" bestFit="1" customWidth="1"/>
    <col min="16" max="16384" width="8.140625" style="125"/>
  </cols>
  <sheetData>
    <row r="1" spans="1:14" s="354" customFormat="1" ht="24.95" customHeight="1">
      <c r="A1" s="351" t="s">
        <v>1474</v>
      </c>
      <c r="B1" s="351"/>
      <c r="C1" s="351"/>
      <c r="D1" s="351"/>
      <c r="E1" s="351"/>
      <c r="F1" s="351"/>
      <c r="G1" s="351"/>
      <c r="H1" s="351"/>
      <c r="I1" s="352"/>
      <c r="J1" s="352"/>
      <c r="K1" s="353"/>
    </row>
    <row r="2" spans="1:14" s="354" customFormat="1" ht="24.95" customHeight="1">
      <c r="A2" s="355"/>
      <c r="B2" s="355"/>
      <c r="C2" s="355"/>
      <c r="D2" s="355"/>
      <c r="E2" s="355"/>
      <c r="F2" s="355"/>
      <c r="G2" s="355"/>
      <c r="H2" s="355"/>
      <c r="I2" s="352"/>
      <c r="J2" s="352"/>
      <c r="K2" s="353"/>
    </row>
    <row r="3" spans="1:14" s="354" customFormat="1" ht="20.100000000000001" customHeight="1">
      <c r="A3" s="356" t="s">
        <v>1475</v>
      </c>
      <c r="B3" s="357"/>
      <c r="C3" s="358" t="s">
        <v>1479</v>
      </c>
      <c r="D3" s="359"/>
      <c r="E3" s="358"/>
      <c r="F3" s="360"/>
      <c r="G3" s="357"/>
      <c r="H3" s="358"/>
      <c r="I3" s="352"/>
      <c r="J3" s="352"/>
      <c r="K3" s="353"/>
    </row>
    <row r="4" spans="1:14" s="354" customFormat="1" ht="40.5" customHeight="1">
      <c r="A4" s="361" t="s">
        <v>1473</v>
      </c>
      <c r="B4" s="361"/>
      <c r="C4" s="362" t="s">
        <v>1476</v>
      </c>
      <c r="D4" s="359"/>
      <c r="E4" s="358"/>
      <c r="F4" s="360"/>
      <c r="G4" s="363" t="s">
        <v>1477</v>
      </c>
      <c r="H4" s="363"/>
      <c r="I4" s="363"/>
      <c r="J4" s="363"/>
      <c r="K4" s="353"/>
    </row>
    <row r="5" spans="1:14" s="364" customFormat="1" ht="28.5" customHeight="1" thickBot="1">
      <c r="C5" s="365"/>
      <c r="D5" s="365"/>
      <c r="E5" s="365"/>
      <c r="F5" s="366"/>
      <c r="G5" s="367"/>
      <c r="H5" s="368" t="s">
        <v>1478</v>
      </c>
      <c r="I5" s="368"/>
      <c r="J5" s="369"/>
      <c r="K5" s="370"/>
    </row>
    <row r="6" spans="1:14" s="192" customFormat="1" ht="20.100000000000001" customHeight="1" thickTop="1">
      <c r="A6" s="196" t="s">
        <v>1386</v>
      </c>
      <c r="B6" s="275" t="s">
        <v>54</v>
      </c>
      <c r="C6" s="277" t="s">
        <v>6</v>
      </c>
      <c r="D6" s="277" t="s">
        <v>5</v>
      </c>
      <c r="E6" s="197" t="s">
        <v>1387</v>
      </c>
      <c r="F6" s="197" t="s">
        <v>1387</v>
      </c>
      <c r="G6" s="198" t="s">
        <v>1388</v>
      </c>
      <c r="H6" s="279" t="s">
        <v>1389</v>
      </c>
      <c r="I6" s="371"/>
      <c r="J6" s="373" t="s">
        <v>1347</v>
      </c>
      <c r="K6" s="191"/>
    </row>
    <row r="7" spans="1:14" s="192" customFormat="1" ht="30" customHeight="1" thickBot="1">
      <c r="A7" s="200" t="s">
        <v>1390</v>
      </c>
      <c r="B7" s="276"/>
      <c r="C7" s="278"/>
      <c r="D7" s="278"/>
      <c r="E7" s="201" t="s">
        <v>1391</v>
      </c>
      <c r="F7" s="201" t="s">
        <v>8</v>
      </c>
      <c r="G7" s="202" t="s">
        <v>1392</v>
      </c>
      <c r="H7" s="201" t="s">
        <v>1393</v>
      </c>
      <c r="I7" s="372" t="s">
        <v>1394</v>
      </c>
      <c r="J7" s="374"/>
      <c r="K7" s="191"/>
    </row>
    <row r="8" spans="1:14" s="192" customFormat="1" ht="18" customHeight="1" thickTop="1">
      <c r="A8" s="203"/>
      <c r="B8" s="204" t="s">
        <v>1395</v>
      </c>
      <c r="C8" s="205"/>
      <c r="D8" s="205"/>
      <c r="E8" s="206"/>
      <c r="F8" s="206"/>
      <c r="G8" s="207"/>
      <c r="H8" s="206"/>
      <c r="I8" s="206"/>
      <c r="J8" s="206"/>
      <c r="K8" s="191"/>
    </row>
    <row r="9" spans="1:14" s="192" customFormat="1" ht="18" customHeight="1">
      <c r="A9" s="208">
        <v>1</v>
      </c>
      <c r="B9" s="209" t="str">
        <f>B18</f>
        <v>หมวดงานชั่วคราว</v>
      </c>
      <c r="C9" s="210">
        <v>1</v>
      </c>
      <c r="D9" s="211" t="s">
        <v>54</v>
      </c>
      <c r="E9" s="212"/>
      <c r="F9" s="212"/>
      <c r="G9" s="213"/>
      <c r="H9" s="212"/>
      <c r="I9" s="214">
        <f>I18</f>
        <v>0</v>
      </c>
      <c r="J9" s="212"/>
      <c r="K9" s="191"/>
      <c r="N9" s="215"/>
    </row>
    <row r="10" spans="1:14" s="192" customFormat="1" ht="18" customHeight="1">
      <c r="A10" s="208">
        <v>2</v>
      </c>
      <c r="B10" s="216" t="str">
        <f>B21</f>
        <v>หมวดงานก่อสร้าง</v>
      </c>
      <c r="C10" s="210">
        <v>1</v>
      </c>
      <c r="D10" s="211" t="s">
        <v>54</v>
      </c>
      <c r="E10" s="212"/>
      <c r="F10" s="212"/>
      <c r="G10" s="213"/>
      <c r="H10" s="212"/>
      <c r="I10" s="212">
        <f>I38</f>
        <v>0</v>
      </c>
      <c r="J10" s="212"/>
      <c r="K10" s="191"/>
      <c r="N10" s="215"/>
    </row>
    <row r="11" spans="1:14" s="192" customFormat="1" ht="18" customHeight="1">
      <c r="A11" s="208">
        <v>3</v>
      </c>
      <c r="B11" s="217" t="str">
        <f>B26</f>
        <v>หมวดงานก่อสร้างฝายดักตะกอน</v>
      </c>
      <c r="C11" s="210">
        <v>1</v>
      </c>
      <c r="D11" s="211" t="s">
        <v>54</v>
      </c>
      <c r="E11" s="212"/>
      <c r="F11" s="212"/>
      <c r="G11" s="213"/>
      <c r="H11" s="212"/>
      <c r="I11" s="212">
        <f>I54</f>
        <v>0</v>
      </c>
      <c r="J11" s="212"/>
      <c r="K11" s="191"/>
      <c r="N11" s="215"/>
    </row>
    <row r="12" spans="1:14" s="192" customFormat="1" ht="18" customHeight="1">
      <c r="A12" s="208">
        <v>4</v>
      </c>
      <c r="B12" s="218" t="s">
        <v>1396</v>
      </c>
      <c r="C12" s="210">
        <v>1</v>
      </c>
      <c r="D12" s="219" t="s">
        <v>54</v>
      </c>
      <c r="E12" s="220"/>
      <c r="F12" s="220"/>
      <c r="G12" s="221"/>
      <c r="H12" s="220"/>
      <c r="I12" s="220">
        <f>'[3]ปร.4(พ)'!G15</f>
        <v>0</v>
      </c>
      <c r="J12" s="220"/>
      <c r="K12" s="191"/>
    </row>
    <row r="13" spans="1:14" s="192" customFormat="1" ht="20.25" customHeight="1" thickBot="1">
      <c r="A13" s="222"/>
      <c r="B13" s="223" t="s">
        <v>1397</v>
      </c>
      <c r="C13" s="224"/>
      <c r="D13" s="224"/>
      <c r="E13" s="225"/>
      <c r="F13" s="223"/>
      <c r="G13" s="226"/>
      <c r="H13" s="223"/>
      <c r="I13" s="223">
        <f>SUM(I9:I12)</f>
        <v>0</v>
      </c>
      <c r="J13" s="225"/>
      <c r="K13" s="191"/>
    </row>
    <row r="14" spans="1:14" s="192" customFormat="1" ht="19.5" customHeight="1" thickTop="1">
      <c r="A14" s="227"/>
      <c r="B14" s="228" t="s">
        <v>1398</v>
      </c>
      <c r="C14" s="263"/>
      <c r="D14" s="264"/>
      <c r="E14" s="264"/>
      <c r="F14" s="264"/>
      <c r="G14" s="264"/>
      <c r="H14" s="264"/>
      <c r="I14" s="265"/>
      <c r="J14" s="229"/>
      <c r="K14" s="191"/>
    </row>
    <row r="15" spans="1:14" s="192" customFormat="1" ht="18" customHeight="1">
      <c r="A15" s="230"/>
      <c r="B15" s="231"/>
      <c r="C15" s="232"/>
      <c r="D15" s="232"/>
      <c r="E15" s="233"/>
      <c r="F15" s="233"/>
      <c r="G15" s="233"/>
      <c r="H15" s="233"/>
      <c r="I15" s="233"/>
      <c r="J15" s="234"/>
      <c r="K15" s="191"/>
    </row>
    <row r="16" spans="1:14" ht="51.75" customHeight="1">
      <c r="A16" s="287" t="s">
        <v>0</v>
      </c>
      <c r="B16" s="287" t="s">
        <v>1</v>
      </c>
      <c r="C16" s="281" t="s">
        <v>2</v>
      </c>
      <c r="D16" s="282"/>
      <c r="E16" s="287" t="s">
        <v>3</v>
      </c>
      <c r="F16" s="283" t="s">
        <v>1380</v>
      </c>
      <c r="G16" s="287" t="s">
        <v>7</v>
      </c>
      <c r="H16" s="128" t="s">
        <v>1379</v>
      </c>
      <c r="I16" s="188" t="s">
        <v>4</v>
      </c>
      <c r="J16" s="285" t="s">
        <v>1381</v>
      </c>
    </row>
    <row r="17" spans="1:16" ht="42" customHeight="1">
      <c r="A17" s="291"/>
      <c r="B17" s="291"/>
      <c r="C17" s="188" t="s">
        <v>5</v>
      </c>
      <c r="D17" s="188" t="s">
        <v>6</v>
      </c>
      <c r="E17" s="288"/>
      <c r="F17" s="284"/>
      <c r="G17" s="291"/>
      <c r="H17" s="189" t="s">
        <v>8</v>
      </c>
      <c r="I17" s="189" t="s">
        <v>7</v>
      </c>
      <c r="J17" s="286"/>
    </row>
    <row r="18" spans="1:16" ht="20.25" customHeight="1">
      <c r="A18" s="152">
        <v>1</v>
      </c>
      <c r="B18" s="131" t="s">
        <v>9</v>
      </c>
      <c r="C18" s="132"/>
      <c r="D18" s="133"/>
      <c r="E18" s="132"/>
      <c r="F18" s="132"/>
      <c r="G18" s="132"/>
      <c r="H18" s="132"/>
      <c r="I18" s="132"/>
      <c r="J18" s="134"/>
    </row>
    <row r="19" spans="1:16" ht="20.25" customHeight="1">
      <c r="A19" s="130">
        <v>1</v>
      </c>
      <c r="B19" s="134" t="s">
        <v>10</v>
      </c>
      <c r="C19" s="132" t="s">
        <v>11</v>
      </c>
      <c r="D19" s="133"/>
      <c r="E19" s="133"/>
      <c r="F19" s="144"/>
      <c r="G19" s="213"/>
      <c r="H19" s="146"/>
      <c r="I19" s="133"/>
      <c r="J19" s="146"/>
    </row>
    <row r="20" spans="1:16" ht="20.25" customHeight="1">
      <c r="A20" s="190"/>
      <c r="B20" s="135" t="s">
        <v>12</v>
      </c>
      <c r="C20" s="132"/>
      <c r="D20" s="133"/>
      <c r="E20" s="133"/>
      <c r="F20" s="153"/>
      <c r="G20" s="133"/>
      <c r="H20" s="136"/>
      <c r="I20" s="133"/>
      <c r="J20" s="136"/>
    </row>
    <row r="21" spans="1:16" ht="20.25" customHeight="1">
      <c r="A21" s="151">
        <v>2</v>
      </c>
      <c r="B21" s="131" t="s">
        <v>13</v>
      </c>
      <c r="C21" s="132"/>
      <c r="D21" s="133"/>
      <c r="E21" s="132"/>
      <c r="F21" s="132"/>
      <c r="G21" s="132"/>
      <c r="H21" s="132"/>
      <c r="I21" s="132"/>
      <c r="J21" s="134"/>
    </row>
    <row r="22" spans="1:16" ht="20.25" customHeight="1">
      <c r="A22" s="130">
        <v>1</v>
      </c>
      <c r="B22" s="134" t="s">
        <v>14</v>
      </c>
      <c r="C22" s="132"/>
      <c r="D22" s="133"/>
      <c r="E22" s="133"/>
      <c r="F22" s="133"/>
      <c r="G22" s="133"/>
      <c r="H22" s="133"/>
      <c r="I22" s="133"/>
      <c r="J22" s="134"/>
    </row>
    <row r="23" spans="1:16" ht="20.25" customHeight="1">
      <c r="A23" s="132"/>
      <c r="B23" s="134" t="s">
        <v>15</v>
      </c>
      <c r="C23" s="132" t="s">
        <v>16</v>
      </c>
      <c r="D23" s="133"/>
      <c r="E23" s="133"/>
      <c r="F23" s="144"/>
      <c r="G23" s="213"/>
      <c r="H23" s="133"/>
      <c r="I23" s="133"/>
      <c r="J23" s="146"/>
    </row>
    <row r="24" spans="1:16" ht="20.25" customHeight="1">
      <c r="A24" s="132"/>
      <c r="B24" s="134" t="s">
        <v>17</v>
      </c>
      <c r="C24" s="132" t="s">
        <v>18</v>
      </c>
      <c r="D24" s="133"/>
      <c r="E24" s="133"/>
      <c r="F24" s="144"/>
      <c r="G24" s="213"/>
      <c r="H24" s="133"/>
      <c r="I24" s="133"/>
      <c r="J24" s="146"/>
    </row>
    <row r="25" spans="1:16" ht="20.25" customHeight="1">
      <c r="A25" s="132"/>
      <c r="B25" s="147" t="s">
        <v>1417</v>
      </c>
      <c r="C25" s="132"/>
      <c r="D25" s="133"/>
      <c r="E25" s="133"/>
      <c r="F25" s="148"/>
      <c r="G25" s="145"/>
      <c r="H25" s="133"/>
      <c r="I25" s="133"/>
      <c r="J25" s="148"/>
    </row>
    <row r="26" spans="1:16" ht="20.25" customHeight="1">
      <c r="A26" s="151">
        <v>3</v>
      </c>
      <c r="B26" s="142" t="s">
        <v>1384</v>
      </c>
      <c r="C26" s="132"/>
      <c r="D26" s="133"/>
      <c r="E26" s="133"/>
      <c r="F26" s="144"/>
      <c r="G26" s="145"/>
      <c r="H26" s="133"/>
      <c r="I26" s="133"/>
      <c r="J26" s="146"/>
    </row>
    <row r="27" spans="1:16" ht="20.25" customHeight="1">
      <c r="A27" s="130">
        <v>1</v>
      </c>
      <c r="B27" s="134" t="s">
        <v>19</v>
      </c>
      <c r="C27" s="132" t="s">
        <v>18</v>
      </c>
      <c r="D27" s="133"/>
      <c r="E27" s="133"/>
      <c r="F27" s="144"/>
      <c r="G27" s="213"/>
      <c r="H27" s="133"/>
      <c r="I27" s="133"/>
      <c r="J27" s="146"/>
    </row>
    <row r="28" spans="1:16" ht="20.25" customHeight="1">
      <c r="A28" s="130">
        <v>2</v>
      </c>
      <c r="B28" s="134" t="s">
        <v>20</v>
      </c>
      <c r="C28" s="132" t="s">
        <v>18</v>
      </c>
      <c r="D28" s="133"/>
      <c r="E28" s="133"/>
      <c r="F28" s="144"/>
      <c r="G28" s="213"/>
      <c r="H28" s="133"/>
      <c r="I28" s="133"/>
      <c r="J28" s="146"/>
    </row>
    <row r="29" spans="1:16" ht="20.25" customHeight="1">
      <c r="A29" s="130">
        <v>3</v>
      </c>
      <c r="B29" s="134" t="s">
        <v>21</v>
      </c>
      <c r="C29" s="132" t="s">
        <v>18</v>
      </c>
      <c r="D29" s="133"/>
      <c r="E29" s="133"/>
      <c r="F29" s="144"/>
      <c r="G29" s="213"/>
      <c r="H29" s="133"/>
      <c r="I29" s="133"/>
      <c r="J29" s="146"/>
      <c r="P29" s="125" t="s">
        <v>22</v>
      </c>
    </row>
    <row r="30" spans="1:16" ht="20.25" customHeight="1">
      <c r="A30" s="130">
        <v>4</v>
      </c>
      <c r="B30" s="134" t="s">
        <v>23</v>
      </c>
      <c r="C30" s="132" t="s">
        <v>16</v>
      </c>
      <c r="D30" s="133"/>
      <c r="E30" s="133"/>
      <c r="F30" s="144"/>
      <c r="G30" s="213"/>
      <c r="H30" s="133"/>
      <c r="I30" s="133"/>
      <c r="J30" s="146"/>
    </row>
    <row r="31" spans="1:16" ht="18" customHeight="1">
      <c r="A31" s="130">
        <v>5</v>
      </c>
      <c r="B31" s="134" t="s">
        <v>24</v>
      </c>
      <c r="C31" s="132"/>
      <c r="D31" s="133"/>
      <c r="E31" s="133"/>
      <c r="F31" s="133"/>
      <c r="G31" s="133"/>
      <c r="H31" s="133"/>
      <c r="I31" s="133"/>
      <c r="J31" s="134"/>
    </row>
    <row r="32" spans="1:16">
      <c r="A32" s="137"/>
      <c r="B32" s="134" t="s">
        <v>25</v>
      </c>
      <c r="C32" s="132" t="s">
        <v>26</v>
      </c>
      <c r="D32" s="133"/>
      <c r="E32" s="133"/>
      <c r="F32" s="144"/>
      <c r="G32" s="213"/>
      <c r="H32" s="133"/>
      <c r="I32" s="133"/>
      <c r="J32" s="146"/>
      <c r="M32" s="129" t="s">
        <v>1357</v>
      </c>
    </row>
    <row r="33" spans="1:15">
      <c r="A33" s="137"/>
      <c r="B33" s="134" t="s">
        <v>27</v>
      </c>
      <c r="C33" s="132" t="s">
        <v>26</v>
      </c>
      <c r="D33" s="133"/>
      <c r="E33" s="133"/>
      <c r="F33" s="144"/>
      <c r="G33" s="213"/>
      <c r="H33" s="133"/>
      <c r="I33" s="133"/>
      <c r="J33" s="146"/>
      <c r="M33" s="129"/>
    </row>
    <row r="34" spans="1:15">
      <c r="A34" s="137"/>
      <c r="B34" s="138" t="s">
        <v>31</v>
      </c>
      <c r="C34" s="132" t="s">
        <v>18</v>
      </c>
      <c r="D34" s="133"/>
      <c r="E34" s="133"/>
      <c r="F34" s="144"/>
      <c r="G34" s="213"/>
      <c r="H34" s="133"/>
      <c r="I34" s="133"/>
      <c r="J34" s="146"/>
      <c r="M34" s="134" t="s">
        <v>28</v>
      </c>
      <c r="N34" s="187" t="s">
        <v>29</v>
      </c>
      <c r="O34" s="134" t="s">
        <v>30</v>
      </c>
    </row>
    <row r="35" spans="1:15">
      <c r="A35" s="137"/>
      <c r="B35" s="138" t="s">
        <v>32</v>
      </c>
      <c r="C35" s="132" t="s">
        <v>33</v>
      </c>
      <c r="D35" s="133"/>
      <c r="E35" s="133"/>
      <c r="F35" s="144"/>
      <c r="G35" s="213"/>
      <c r="H35" s="133"/>
      <c r="I35" s="133"/>
      <c r="J35" s="146"/>
      <c r="M35" s="143">
        <v>2140.19</v>
      </c>
      <c r="N35" s="125">
        <f>D34+D39+D45</f>
        <v>0</v>
      </c>
      <c r="O35" s="125">
        <f>49.5+351.67+2.48</f>
        <v>403.65000000000003</v>
      </c>
    </row>
    <row r="36" spans="1:15">
      <c r="A36" s="137"/>
      <c r="B36" s="138" t="s">
        <v>34</v>
      </c>
      <c r="C36" s="132" t="s">
        <v>16</v>
      </c>
      <c r="D36" s="133"/>
      <c r="E36" s="133"/>
      <c r="F36" s="144"/>
      <c r="G36" s="213"/>
      <c r="H36" s="133"/>
      <c r="I36" s="133"/>
      <c r="J36" s="146"/>
      <c r="M36" s="129"/>
    </row>
    <row r="37" spans="1:15" s="140" customFormat="1">
      <c r="A37" s="139"/>
      <c r="B37" s="147" t="s">
        <v>1412</v>
      </c>
      <c r="C37" s="135"/>
      <c r="D37" s="136"/>
      <c r="E37" s="136"/>
      <c r="F37" s="148"/>
      <c r="G37" s="145"/>
      <c r="H37" s="133"/>
      <c r="I37" s="136"/>
      <c r="J37" s="148"/>
      <c r="M37" s="141"/>
    </row>
    <row r="38" spans="1:15">
      <c r="A38" s="130">
        <v>6</v>
      </c>
      <c r="B38" s="138" t="s">
        <v>35</v>
      </c>
      <c r="C38" s="132"/>
      <c r="D38" s="133"/>
      <c r="E38" s="133"/>
      <c r="F38" s="133"/>
      <c r="G38" s="133"/>
      <c r="H38" s="133"/>
      <c r="I38" s="133"/>
      <c r="J38" s="134"/>
    </row>
    <row r="39" spans="1:15">
      <c r="A39" s="137"/>
      <c r="B39" s="138" t="s">
        <v>31</v>
      </c>
      <c r="C39" s="132" t="s">
        <v>18</v>
      </c>
      <c r="D39" s="133"/>
      <c r="E39" s="133"/>
      <c r="F39" s="144"/>
      <c r="G39" s="213"/>
      <c r="H39" s="133"/>
      <c r="I39" s="133"/>
      <c r="J39" s="146"/>
    </row>
    <row r="40" spans="1:15">
      <c r="A40" s="137"/>
      <c r="B40" s="138" t="s">
        <v>32</v>
      </c>
      <c r="C40" s="132" t="s">
        <v>33</v>
      </c>
      <c r="D40" s="133"/>
      <c r="E40" s="133"/>
      <c r="F40" s="144"/>
      <c r="G40" s="213"/>
      <c r="H40" s="133"/>
      <c r="I40" s="133"/>
      <c r="J40" s="146"/>
    </row>
    <row r="41" spans="1:15">
      <c r="A41" s="137"/>
      <c r="B41" s="138" t="s">
        <v>36</v>
      </c>
      <c r="C41" s="132" t="s">
        <v>37</v>
      </c>
      <c r="D41" s="133"/>
      <c r="E41" s="133"/>
      <c r="F41" s="144"/>
      <c r="G41" s="213"/>
      <c r="H41" s="133"/>
      <c r="I41" s="133"/>
      <c r="J41" s="146"/>
      <c r="L41" s="129" t="s">
        <v>1354</v>
      </c>
    </row>
    <row r="42" spans="1:15">
      <c r="A42" s="137"/>
      <c r="B42" s="138" t="s">
        <v>38</v>
      </c>
      <c r="C42" s="132" t="s">
        <v>39</v>
      </c>
      <c r="D42" s="133"/>
      <c r="E42" s="133"/>
      <c r="F42" s="144"/>
      <c r="G42" s="213"/>
      <c r="H42" s="133"/>
      <c r="I42" s="133"/>
      <c r="J42" s="146"/>
    </row>
    <row r="43" spans="1:15">
      <c r="A43" s="137"/>
      <c r="B43" s="147" t="s">
        <v>1382</v>
      </c>
      <c r="C43" s="132"/>
      <c r="D43" s="133"/>
      <c r="E43" s="133"/>
      <c r="F43" s="148"/>
      <c r="G43" s="145"/>
      <c r="H43" s="133"/>
      <c r="I43" s="133"/>
      <c r="J43" s="148"/>
    </row>
    <row r="44" spans="1:15">
      <c r="A44" s="130">
        <v>7</v>
      </c>
      <c r="B44" s="138" t="s">
        <v>40</v>
      </c>
      <c r="C44" s="132"/>
      <c r="D44" s="133"/>
      <c r="E44" s="133"/>
      <c r="F44" s="133"/>
      <c r="G44" s="133"/>
      <c r="H44" s="133"/>
      <c r="I44" s="133"/>
      <c r="J44" s="134"/>
    </row>
    <row r="45" spans="1:15">
      <c r="A45" s="137"/>
      <c r="B45" s="138" t="s">
        <v>31</v>
      </c>
      <c r="C45" s="132" t="s">
        <v>18</v>
      </c>
      <c r="D45" s="133"/>
      <c r="E45" s="133"/>
      <c r="F45" s="144"/>
      <c r="G45" s="213"/>
      <c r="H45" s="133"/>
      <c r="I45" s="133"/>
      <c r="J45" s="146"/>
    </row>
    <row r="46" spans="1:15">
      <c r="A46" s="137"/>
      <c r="B46" s="138" t="s">
        <v>32</v>
      </c>
      <c r="C46" s="132" t="s">
        <v>33</v>
      </c>
      <c r="D46" s="133"/>
      <c r="E46" s="133"/>
      <c r="F46" s="144"/>
      <c r="G46" s="213"/>
      <c r="H46" s="133"/>
      <c r="I46" s="133"/>
      <c r="J46" s="146"/>
    </row>
    <row r="47" spans="1:15">
      <c r="A47" s="137"/>
      <c r="B47" s="147" t="s">
        <v>1383</v>
      </c>
      <c r="C47" s="132"/>
      <c r="D47" s="133"/>
      <c r="E47" s="133"/>
      <c r="F47" s="148"/>
      <c r="G47" s="145"/>
      <c r="H47" s="133"/>
      <c r="I47" s="133"/>
      <c r="J47" s="148"/>
    </row>
    <row r="48" spans="1:15">
      <c r="A48" s="130">
        <v>8</v>
      </c>
      <c r="B48" s="138" t="s">
        <v>41</v>
      </c>
      <c r="C48" s="132" t="s">
        <v>18</v>
      </c>
      <c r="D48" s="133"/>
      <c r="E48" s="133"/>
      <c r="F48" s="144"/>
      <c r="G48" s="213"/>
      <c r="H48" s="133"/>
      <c r="I48" s="133"/>
      <c r="J48" s="146"/>
    </row>
    <row r="49" spans="1:10">
      <c r="A49" s="130">
        <v>9</v>
      </c>
      <c r="B49" s="138" t="s">
        <v>42</v>
      </c>
      <c r="C49" s="132" t="s">
        <v>43</v>
      </c>
      <c r="D49" s="133"/>
      <c r="E49" s="133"/>
      <c r="F49" s="144"/>
      <c r="G49" s="213"/>
      <c r="H49" s="133"/>
      <c r="I49" s="133"/>
      <c r="J49" s="146"/>
    </row>
    <row r="50" spans="1:10">
      <c r="A50" s="130">
        <v>10</v>
      </c>
      <c r="B50" s="138" t="s">
        <v>44</v>
      </c>
      <c r="C50" s="132" t="s">
        <v>45</v>
      </c>
      <c r="D50" s="133"/>
      <c r="E50" s="133"/>
      <c r="F50" s="144"/>
      <c r="G50" s="213"/>
      <c r="H50" s="133"/>
      <c r="I50" s="133"/>
      <c r="J50" s="146"/>
    </row>
    <row r="51" spans="1:10">
      <c r="A51" s="130">
        <v>11</v>
      </c>
      <c r="B51" s="138" t="s">
        <v>46</v>
      </c>
      <c r="C51" s="132" t="s">
        <v>45</v>
      </c>
      <c r="D51" s="133"/>
      <c r="E51" s="133"/>
      <c r="F51" s="144"/>
      <c r="G51" s="213"/>
      <c r="H51" s="133"/>
      <c r="I51" s="133"/>
      <c r="J51" s="146"/>
    </row>
    <row r="52" spans="1:10">
      <c r="A52" s="132"/>
      <c r="B52" s="135" t="s">
        <v>1413</v>
      </c>
      <c r="C52" s="132"/>
      <c r="D52" s="133"/>
      <c r="E52" s="133"/>
      <c r="F52" s="136"/>
      <c r="G52" s="133"/>
      <c r="H52" s="133"/>
      <c r="I52" s="133"/>
      <c r="J52" s="136"/>
    </row>
    <row r="53" spans="1:10">
      <c r="A53" s="132"/>
      <c r="B53" s="249" t="s">
        <v>971</v>
      </c>
      <c r="C53" s="132"/>
      <c r="D53" s="133"/>
      <c r="E53" s="133"/>
      <c r="F53" s="136"/>
      <c r="G53" s="133"/>
      <c r="H53" s="133"/>
      <c r="I53" s="133"/>
      <c r="J53" s="136"/>
    </row>
    <row r="55" spans="1:10">
      <c r="F55" s="127">
        <f>F53*G51</f>
        <v>0</v>
      </c>
    </row>
  </sheetData>
  <mergeCells count="18">
    <mergeCell ref="G4:J4"/>
    <mergeCell ref="A16:A17"/>
    <mergeCell ref="B16:B17"/>
    <mergeCell ref="C16:D16"/>
    <mergeCell ref="E16:E17"/>
    <mergeCell ref="F16:F17"/>
    <mergeCell ref="J16:J17"/>
    <mergeCell ref="G16:G17"/>
    <mergeCell ref="C14:I14"/>
    <mergeCell ref="A4:B4"/>
    <mergeCell ref="C5:E5"/>
    <mergeCell ref="H5:J5"/>
    <mergeCell ref="B6:B7"/>
    <mergeCell ref="C6:C7"/>
    <mergeCell ref="D6:D7"/>
    <mergeCell ref="H6:I6"/>
    <mergeCell ref="J6:J7"/>
    <mergeCell ref="A1:H1"/>
  </mergeCells>
  <pageMargins left="0.7" right="0.7" top="0.75" bottom="0.75" header="0.3" footer="0.3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view="pageBreakPreview" zoomScaleNormal="100" zoomScaleSheetLayoutView="100" workbookViewId="0">
      <selection activeCell="G6" sqref="G6"/>
    </sheetView>
  </sheetViews>
  <sheetFormatPr defaultColWidth="8.140625" defaultRowHeight="21"/>
  <cols>
    <col min="1" max="1" width="12.42578125" style="126" customWidth="1"/>
    <col min="2" max="2" width="65.42578125" style="125" customWidth="1"/>
    <col min="3" max="3" width="8.7109375" style="126" bestFit="1" customWidth="1"/>
    <col min="4" max="4" width="9.85546875" style="127" bestFit="1" customWidth="1"/>
    <col min="5" max="6" width="17.7109375" style="127" customWidth="1"/>
    <col min="7" max="7" width="14.42578125" style="127" customWidth="1"/>
    <col min="8" max="8" width="23.85546875" style="127" customWidth="1"/>
    <col min="9" max="9" width="0.140625" style="127" customWidth="1"/>
    <col min="10" max="10" width="21.140625" style="125" customWidth="1"/>
    <col min="11" max="11" width="11.28515625" style="125" customWidth="1"/>
    <col min="12" max="12" width="14.7109375" style="125" customWidth="1"/>
    <col min="13" max="13" width="8.7109375" style="125" bestFit="1" customWidth="1"/>
    <col min="14" max="15" width="8.28515625" style="125" bestFit="1" customWidth="1"/>
    <col min="16" max="16384" width="8.140625" style="125"/>
  </cols>
  <sheetData>
    <row r="1" spans="1:14" s="192" customFormat="1" ht="28.5" customHeight="1">
      <c r="A1" s="269" t="s">
        <v>1415</v>
      </c>
      <c r="B1" s="270"/>
      <c r="C1" s="270"/>
      <c r="D1" s="270"/>
      <c r="E1" s="270"/>
      <c r="F1" s="270"/>
      <c r="G1" s="270"/>
      <c r="H1" s="270"/>
      <c r="I1" s="270"/>
      <c r="J1" s="271"/>
      <c r="K1" s="191"/>
    </row>
    <row r="2" spans="1:14" s="192" customFormat="1" ht="19.5" customHeight="1" thickBot="1">
      <c r="A2" s="289" t="s">
        <v>1473</v>
      </c>
      <c r="B2" s="290"/>
      <c r="C2" s="272" t="s">
        <v>1459</v>
      </c>
      <c r="D2" s="272"/>
      <c r="E2" s="272"/>
      <c r="F2" s="193"/>
      <c r="G2" s="194"/>
      <c r="H2" s="273" t="s">
        <v>1469</v>
      </c>
      <c r="I2" s="273"/>
      <c r="J2" s="274"/>
      <c r="K2" s="191"/>
    </row>
    <row r="3" spans="1:14" s="192" customFormat="1" ht="20.100000000000001" customHeight="1" thickTop="1">
      <c r="A3" s="195" t="s">
        <v>1386</v>
      </c>
      <c r="B3" s="275" t="s">
        <v>54</v>
      </c>
      <c r="C3" s="277" t="s">
        <v>6</v>
      </c>
      <c r="D3" s="277" t="s">
        <v>5</v>
      </c>
      <c r="E3" s="197" t="s">
        <v>1387</v>
      </c>
      <c r="F3" s="197" t="s">
        <v>1387</v>
      </c>
      <c r="G3" s="198" t="s">
        <v>1388</v>
      </c>
      <c r="H3" s="279" t="s">
        <v>1389</v>
      </c>
      <c r="I3" s="280"/>
      <c r="J3" s="275" t="s">
        <v>1347</v>
      </c>
      <c r="K3" s="191"/>
    </row>
    <row r="4" spans="1:14" s="192" customFormat="1" ht="20.100000000000001" customHeight="1" thickBot="1">
      <c r="A4" s="199" t="s">
        <v>1390</v>
      </c>
      <c r="B4" s="276"/>
      <c r="C4" s="278"/>
      <c r="D4" s="278"/>
      <c r="E4" s="201" t="s">
        <v>1391</v>
      </c>
      <c r="F4" s="201" t="s">
        <v>8</v>
      </c>
      <c r="G4" s="202" t="s">
        <v>1392</v>
      </c>
      <c r="H4" s="201" t="s">
        <v>1393</v>
      </c>
      <c r="I4" s="201" t="s">
        <v>1394</v>
      </c>
      <c r="J4" s="276"/>
      <c r="K4" s="191"/>
    </row>
    <row r="5" spans="1:14" s="192" customFormat="1" ht="18" customHeight="1" thickTop="1">
      <c r="A5" s="203"/>
      <c r="B5" s="204" t="s">
        <v>1395</v>
      </c>
      <c r="C5" s="205"/>
      <c r="D5" s="205"/>
      <c r="E5" s="206"/>
      <c r="F5" s="206"/>
      <c r="G5" s="207"/>
      <c r="H5" s="206"/>
      <c r="I5" s="206"/>
      <c r="J5" s="206"/>
      <c r="K5" s="191"/>
    </row>
    <row r="6" spans="1:14" s="192" customFormat="1" ht="18" customHeight="1">
      <c r="A6" s="208">
        <v>1</v>
      </c>
      <c r="B6" s="209" t="str">
        <f>B33</f>
        <v>หมวดงานชั่วคราว</v>
      </c>
      <c r="C6" s="210">
        <v>1</v>
      </c>
      <c r="D6" s="211" t="s">
        <v>54</v>
      </c>
      <c r="E6" s="212"/>
      <c r="F6" s="212">
        <f>F34</f>
        <v>1400000</v>
      </c>
      <c r="G6" s="213">
        <f>'Factor-F '!D17</f>
        <v>1.3366</v>
      </c>
      <c r="H6" s="212">
        <f>F6*G6</f>
        <v>1871240</v>
      </c>
      <c r="I6" s="214">
        <f>I33</f>
        <v>0</v>
      </c>
      <c r="J6" s="212"/>
      <c r="K6" s="191"/>
      <c r="N6" s="215"/>
    </row>
    <row r="7" spans="1:14" s="192" customFormat="1" ht="18" customHeight="1">
      <c r="A7" s="208">
        <v>2</v>
      </c>
      <c r="B7" s="216" t="str">
        <f>B36</f>
        <v>หมวดงานก่อสร้าง</v>
      </c>
      <c r="C7" s="210">
        <v>1</v>
      </c>
      <c r="D7" s="211" t="s">
        <v>54</v>
      </c>
      <c r="E7" s="212"/>
      <c r="F7" s="212">
        <f>F40</f>
        <v>10550.2</v>
      </c>
      <c r="G7" s="213">
        <f>$G$6</f>
        <v>1.3366</v>
      </c>
      <c r="H7" s="212">
        <f t="shared" ref="H7" si="0">F7*G7</f>
        <v>14101.397320000002</v>
      </c>
      <c r="I7" s="212">
        <f>I53</f>
        <v>0</v>
      </c>
      <c r="J7" s="212"/>
      <c r="K7" s="191"/>
      <c r="N7" s="215"/>
    </row>
    <row r="8" spans="1:14" s="192" customFormat="1" ht="18" customHeight="1">
      <c r="A8" s="208">
        <v>3</v>
      </c>
      <c r="B8" s="217" t="str">
        <f>B41</f>
        <v>หมวดงานก่อสร้างฝายดักตะกอน</v>
      </c>
      <c r="C8" s="210">
        <v>1</v>
      </c>
      <c r="D8" s="211" t="s">
        <v>54</v>
      </c>
      <c r="E8" s="212"/>
      <c r="F8" s="212">
        <f>F67</f>
        <v>2956371.0381742073</v>
      </c>
      <c r="G8" s="213">
        <f>$G$6</f>
        <v>1.3366</v>
      </c>
      <c r="H8" s="212">
        <f>F8*G8</f>
        <v>3951485.5296236454</v>
      </c>
      <c r="I8" s="212">
        <f>I69</f>
        <v>0</v>
      </c>
      <c r="J8" s="212"/>
      <c r="K8" s="191"/>
      <c r="N8" s="215"/>
    </row>
    <row r="9" spans="1:14" s="192" customFormat="1" ht="18" customHeight="1">
      <c r="A9" s="208">
        <v>4</v>
      </c>
      <c r="B9" s="218" t="s">
        <v>1396</v>
      </c>
      <c r="C9" s="210">
        <v>1</v>
      </c>
      <c r="D9" s="219" t="s">
        <v>54</v>
      </c>
      <c r="E9" s="220"/>
      <c r="F9" s="220">
        <f>'ปร.4(พ)'!G17</f>
        <v>393225</v>
      </c>
      <c r="G9" s="221"/>
      <c r="H9" s="220">
        <f>F9</f>
        <v>393225</v>
      </c>
      <c r="I9" s="220">
        <f>'[3]ปร.4(พ)'!G15</f>
        <v>0</v>
      </c>
      <c r="J9" s="220"/>
      <c r="K9" s="191"/>
    </row>
    <row r="10" spans="1:14" s="192" customFormat="1" ht="20.25" customHeight="1" thickBot="1">
      <c r="A10" s="222"/>
      <c r="B10" s="223" t="s">
        <v>1397</v>
      </c>
      <c r="C10" s="224"/>
      <c r="D10" s="224"/>
      <c r="E10" s="225"/>
      <c r="F10" s="223">
        <f>SUM(F6:F9)</f>
        <v>4760146.2381742075</v>
      </c>
      <c r="G10" s="226"/>
      <c r="H10" s="223">
        <f>SUM(H6:I9)</f>
        <v>6230051.9269436449</v>
      </c>
      <c r="I10" s="223">
        <f>SUM(I6:I9)</f>
        <v>0</v>
      </c>
      <c r="J10" s="225"/>
      <c r="K10" s="191"/>
    </row>
    <row r="11" spans="1:14" s="192" customFormat="1" ht="19.5" customHeight="1" thickTop="1">
      <c r="A11" s="227"/>
      <c r="B11" s="228" t="s">
        <v>1398</v>
      </c>
      <c r="C11" s="263" t="str">
        <f>+BAHTTEXT(H10)</f>
        <v>หกล้านสองแสนสามหมื่นห้าสิบเอ็ดบาทเก้าสิบสามสตางค์</v>
      </c>
      <c r="D11" s="264"/>
      <c r="E11" s="264"/>
      <c r="F11" s="264"/>
      <c r="G11" s="264"/>
      <c r="H11" s="264"/>
      <c r="I11" s="265"/>
      <c r="J11" s="229"/>
      <c r="K11" s="191"/>
    </row>
    <row r="12" spans="1:14" s="192" customFormat="1" ht="18" customHeight="1">
      <c r="A12" s="230"/>
      <c r="B12" s="231"/>
      <c r="C12" s="232"/>
      <c r="D12" s="232"/>
      <c r="E12" s="233"/>
      <c r="F12" s="233"/>
      <c r="G12" s="233"/>
      <c r="H12" s="233"/>
      <c r="I12" s="233"/>
      <c r="J12" s="234"/>
      <c r="K12" s="191"/>
    </row>
    <row r="13" spans="1:14" s="192" customFormat="1" ht="23.25" customHeight="1">
      <c r="A13" s="266" t="s">
        <v>1399</v>
      </c>
      <c r="B13" s="267"/>
      <c r="C13" s="267"/>
      <c r="D13" s="267"/>
      <c r="E13" s="267"/>
      <c r="F13" s="267"/>
      <c r="G13" s="267"/>
      <c r="H13" s="267"/>
      <c r="I13" s="267"/>
      <c r="J13" s="268"/>
      <c r="K13" s="191"/>
    </row>
    <row r="14" spans="1:14" s="192" customFormat="1" ht="23.25" customHeight="1">
      <c r="A14" s="266" t="s">
        <v>1414</v>
      </c>
      <c r="B14" s="267"/>
      <c r="C14" s="267"/>
      <c r="D14" s="267"/>
      <c r="E14" s="267"/>
      <c r="F14" s="267"/>
      <c r="G14" s="267"/>
      <c r="H14" s="267"/>
      <c r="I14" s="267"/>
      <c r="J14" s="268"/>
      <c r="K14" s="191"/>
    </row>
    <row r="15" spans="1:14" s="192" customFormat="1" ht="18" customHeight="1">
      <c r="A15" s="235"/>
      <c r="B15" s="236"/>
      <c r="C15" s="236"/>
      <c r="D15" s="236"/>
      <c r="E15" s="236"/>
      <c r="F15" s="236"/>
      <c r="G15" s="236"/>
      <c r="H15" s="236"/>
      <c r="I15" s="236"/>
      <c r="J15" s="237"/>
      <c r="K15" s="191"/>
      <c r="M15" s="192" t="s">
        <v>1468</v>
      </c>
    </row>
    <row r="16" spans="1:14" s="192" customFormat="1" ht="20.25" customHeight="1">
      <c r="A16" s="266" t="s">
        <v>1400</v>
      </c>
      <c r="B16" s="267"/>
      <c r="C16" s="267"/>
      <c r="D16" s="267"/>
      <c r="E16" s="267"/>
      <c r="F16" s="267"/>
      <c r="G16" s="267"/>
      <c r="H16" s="267"/>
      <c r="I16" s="267"/>
      <c r="J16" s="268"/>
    </row>
    <row r="17" spans="1:11" s="192" customFormat="1" ht="20.25" customHeight="1">
      <c r="A17" s="266" t="s">
        <v>1401</v>
      </c>
      <c r="B17" s="267"/>
      <c r="C17" s="267"/>
      <c r="D17" s="267"/>
      <c r="E17" s="267"/>
      <c r="F17" s="267"/>
      <c r="G17" s="267"/>
      <c r="H17" s="267"/>
      <c r="I17" s="267"/>
      <c r="J17" s="268"/>
    </row>
    <row r="18" spans="1:11" s="192" customFormat="1" ht="20.25" customHeight="1">
      <c r="A18" s="235"/>
      <c r="B18" s="238"/>
      <c r="E18" s="238"/>
      <c r="F18" s="238"/>
      <c r="G18" s="238"/>
      <c r="H18" s="238"/>
      <c r="I18" s="238"/>
      <c r="J18" s="239"/>
    </row>
    <row r="19" spans="1:11" s="192" customFormat="1" ht="20.25" customHeight="1">
      <c r="A19" s="240"/>
      <c r="B19" s="241"/>
      <c r="C19" s="241"/>
      <c r="D19" s="241"/>
      <c r="E19" s="241"/>
      <c r="F19" s="241"/>
      <c r="G19" s="238"/>
      <c r="H19" s="238"/>
      <c r="I19" s="238"/>
      <c r="J19" s="239"/>
    </row>
    <row r="20" spans="1:11" s="192" customFormat="1" ht="20.25" customHeight="1">
      <c r="A20" s="266" t="s">
        <v>1402</v>
      </c>
      <c r="B20" s="267"/>
      <c r="C20" s="267"/>
      <c r="E20" s="238"/>
      <c r="F20" s="241" t="s">
        <v>1416</v>
      </c>
      <c r="G20" s="238"/>
      <c r="H20" s="238"/>
      <c r="I20" s="238"/>
      <c r="J20" s="239"/>
    </row>
    <row r="21" spans="1:11" s="192" customFormat="1" ht="20.25" customHeight="1">
      <c r="A21" s="266" t="s">
        <v>1467</v>
      </c>
      <c r="B21" s="267"/>
      <c r="C21" s="267"/>
      <c r="D21" s="267" t="s">
        <v>1411</v>
      </c>
      <c r="E21" s="267"/>
      <c r="F21" s="267"/>
      <c r="G21" s="267"/>
      <c r="H21" s="267"/>
      <c r="I21" s="267"/>
      <c r="J21" s="239"/>
    </row>
    <row r="22" spans="1:11" s="192" customFormat="1" ht="20.25" customHeight="1">
      <c r="A22" s="240"/>
      <c r="B22" s="242"/>
      <c r="C22" s="242"/>
      <c r="D22" s="242"/>
      <c r="E22" s="242"/>
      <c r="F22" s="242"/>
      <c r="G22" s="238"/>
      <c r="H22" s="238"/>
      <c r="I22" s="238"/>
      <c r="J22" s="239"/>
    </row>
    <row r="23" spans="1:11" s="192" customFormat="1" ht="20.25" customHeight="1">
      <c r="A23" s="240"/>
      <c r="B23" s="241"/>
      <c r="C23" s="241"/>
      <c r="D23" s="241"/>
      <c r="E23" s="241"/>
      <c r="F23" s="241"/>
      <c r="G23" s="238"/>
      <c r="H23" s="238"/>
      <c r="I23" s="238"/>
      <c r="J23" s="239"/>
    </row>
    <row r="24" spans="1:11" s="192" customFormat="1" ht="20.25" customHeight="1">
      <c r="A24" s="292" t="s">
        <v>1404</v>
      </c>
      <c r="B24" s="293"/>
      <c r="C24" s="243"/>
      <c r="E24" s="243" t="s">
        <v>1405</v>
      </c>
      <c r="F24" s="243"/>
      <c r="G24" s="243"/>
      <c r="H24" s="243"/>
      <c r="I24" s="243"/>
      <c r="J24" s="244"/>
    </row>
    <row r="25" spans="1:11" s="192" customFormat="1" ht="20.25" customHeight="1">
      <c r="A25" s="294" t="s">
        <v>1410</v>
      </c>
      <c r="B25" s="295"/>
      <c r="C25" s="149"/>
      <c r="E25" s="149"/>
      <c r="F25" s="186" t="s">
        <v>1409</v>
      </c>
      <c r="G25" s="238"/>
      <c r="H25" s="238"/>
      <c r="I25" s="238"/>
      <c r="J25" s="239"/>
    </row>
    <row r="26" spans="1:11" s="192" customFormat="1" ht="20.25" customHeight="1">
      <c r="A26" s="150"/>
      <c r="B26" s="186"/>
      <c r="C26" s="149"/>
      <c r="D26" s="186"/>
      <c r="E26" s="186"/>
      <c r="F26" s="186"/>
      <c r="G26" s="238"/>
      <c r="H26" s="238"/>
      <c r="I26" s="238"/>
      <c r="J26" s="239"/>
    </row>
    <row r="27" spans="1:11" s="192" customFormat="1" ht="20.25" customHeight="1">
      <c r="A27" s="150"/>
      <c r="B27" s="149"/>
      <c r="C27" s="149"/>
      <c r="D27" s="149"/>
      <c r="E27" s="149"/>
      <c r="F27" s="149"/>
      <c r="G27" s="238"/>
      <c r="H27" s="238"/>
      <c r="I27" s="238"/>
      <c r="J27" s="239"/>
    </row>
    <row r="28" spans="1:11" s="192" customFormat="1" ht="20.25" customHeight="1">
      <c r="A28" s="296" t="s">
        <v>1403</v>
      </c>
      <c r="B28" s="297"/>
      <c r="C28" s="149"/>
      <c r="E28" s="238"/>
      <c r="F28" s="149" t="s">
        <v>1406</v>
      </c>
      <c r="G28" s="149"/>
      <c r="H28" s="149"/>
      <c r="I28" s="238"/>
      <c r="J28" s="239"/>
    </row>
    <row r="29" spans="1:11" s="192" customFormat="1" ht="20.25" customHeight="1">
      <c r="A29" s="296" t="s">
        <v>1407</v>
      </c>
      <c r="B29" s="297"/>
      <c r="C29" s="149"/>
      <c r="E29" s="238"/>
      <c r="F29" s="295" t="s">
        <v>1408</v>
      </c>
      <c r="G29" s="295"/>
      <c r="H29" s="295"/>
      <c r="I29" s="238"/>
      <c r="J29" s="239"/>
    </row>
    <row r="30" spans="1:11" s="192" customFormat="1" ht="18" customHeight="1">
      <c r="A30" s="245"/>
      <c r="B30" s="246"/>
      <c r="C30" s="247"/>
      <c r="D30" s="247"/>
      <c r="E30" s="246"/>
      <c r="F30" s="246"/>
      <c r="G30" s="246"/>
      <c r="H30" s="246"/>
      <c r="I30" s="246"/>
      <c r="J30" s="248"/>
      <c r="K30" s="191"/>
    </row>
    <row r="31" spans="1:11" ht="51.75" customHeight="1">
      <c r="A31" s="287" t="s">
        <v>0</v>
      </c>
      <c r="B31" s="287" t="s">
        <v>1</v>
      </c>
      <c r="C31" s="281" t="s">
        <v>2</v>
      </c>
      <c r="D31" s="282"/>
      <c r="E31" s="287" t="s">
        <v>3</v>
      </c>
      <c r="F31" s="283" t="s">
        <v>1380</v>
      </c>
      <c r="G31" s="183"/>
      <c r="H31" s="128" t="s">
        <v>1379</v>
      </c>
      <c r="I31" s="183" t="s">
        <v>4</v>
      </c>
      <c r="J31" s="285" t="s">
        <v>1381</v>
      </c>
    </row>
    <row r="32" spans="1:11" ht="42" customHeight="1">
      <c r="A32" s="291"/>
      <c r="B32" s="291"/>
      <c r="C32" s="183" t="s">
        <v>5</v>
      </c>
      <c r="D32" s="183" t="s">
        <v>6</v>
      </c>
      <c r="E32" s="288"/>
      <c r="F32" s="284"/>
      <c r="G32" s="184" t="s">
        <v>7</v>
      </c>
      <c r="H32" s="184" t="s">
        <v>8</v>
      </c>
      <c r="I32" s="184" t="s">
        <v>7</v>
      </c>
      <c r="J32" s="286"/>
    </row>
    <row r="33" spans="1:16" ht="20.25" customHeight="1">
      <c r="A33" s="152">
        <v>1</v>
      </c>
      <c r="B33" s="131" t="s">
        <v>9</v>
      </c>
      <c r="C33" s="132"/>
      <c r="D33" s="133"/>
      <c r="E33" s="132"/>
      <c r="F33" s="132"/>
      <c r="G33" s="132"/>
      <c r="H33" s="132"/>
      <c r="I33" s="132"/>
      <c r="J33" s="134"/>
    </row>
    <row r="34" spans="1:16" ht="20.25" customHeight="1">
      <c r="A34" s="130">
        <v>1</v>
      </c>
      <c r="B34" s="134" t="s">
        <v>10</v>
      </c>
      <c r="C34" s="132" t="s">
        <v>11</v>
      </c>
      <c r="D34" s="133">
        <v>1</v>
      </c>
      <c r="E34" s="133">
        <v>1400000</v>
      </c>
      <c r="F34" s="144">
        <f>E34*D34</f>
        <v>1400000</v>
      </c>
      <c r="G34" s="213">
        <f>$G$6</f>
        <v>1.3366</v>
      </c>
      <c r="H34" s="146">
        <f>G34*E34</f>
        <v>1871240</v>
      </c>
      <c r="I34" s="133"/>
      <c r="J34" s="146">
        <f>D34*H34</f>
        <v>1871240</v>
      </c>
    </row>
    <row r="35" spans="1:16" ht="20.25" customHeight="1">
      <c r="A35" s="185"/>
      <c r="B35" s="135" t="s">
        <v>12</v>
      </c>
      <c r="C35" s="132"/>
      <c r="D35" s="133"/>
      <c r="E35" s="133"/>
      <c r="F35" s="153">
        <f>F34</f>
        <v>1400000</v>
      </c>
      <c r="G35" s="133"/>
      <c r="H35" s="136">
        <f>H34</f>
        <v>1871240</v>
      </c>
      <c r="I35" s="133"/>
      <c r="J35" s="136">
        <f>H34</f>
        <v>1871240</v>
      </c>
    </row>
    <row r="36" spans="1:16" ht="20.25" customHeight="1">
      <c r="A36" s="151">
        <v>2</v>
      </c>
      <c r="B36" s="131" t="s">
        <v>13</v>
      </c>
      <c r="C36" s="132"/>
      <c r="D36" s="133"/>
      <c r="E36" s="132"/>
      <c r="F36" s="132"/>
      <c r="G36" s="132"/>
      <c r="H36" s="132"/>
      <c r="I36" s="132"/>
      <c r="J36" s="134"/>
    </row>
    <row r="37" spans="1:16" ht="20.25" customHeight="1">
      <c r="A37" s="130">
        <v>1</v>
      </c>
      <c r="B37" s="134" t="s">
        <v>14</v>
      </c>
      <c r="C37" s="132"/>
      <c r="D37" s="133"/>
      <c r="E37" s="133"/>
      <c r="F37" s="133"/>
      <c r="G37" s="133"/>
      <c r="H37" s="133"/>
      <c r="I37" s="133"/>
      <c r="J37" s="134"/>
    </row>
    <row r="38" spans="1:16" ht="20.25" customHeight="1">
      <c r="A38" s="132"/>
      <c r="B38" s="134" t="s">
        <v>15</v>
      </c>
      <c r="C38" s="132" t="s">
        <v>16</v>
      </c>
      <c r="D38" s="133">
        <v>1030</v>
      </c>
      <c r="E38" s="133">
        <f>[4]บัญชีราคาต่อหน่วยชลประทาน!F6</f>
        <v>1.28</v>
      </c>
      <c r="F38" s="144">
        <f>E38*D38</f>
        <v>1318.4</v>
      </c>
      <c r="G38" s="213">
        <f t="shared" ref="G38:G39" si="1">$G$6</f>
        <v>1.3366</v>
      </c>
      <c r="H38" s="133">
        <f>G38*E38</f>
        <v>1.7108480000000001</v>
      </c>
      <c r="I38" s="133"/>
      <c r="J38" s="146">
        <f>D38*H38</f>
        <v>1762.1734400000003</v>
      </c>
    </row>
    <row r="39" spans="1:16" ht="20.25" customHeight="1">
      <c r="A39" s="132"/>
      <c r="B39" s="134" t="s">
        <v>17</v>
      </c>
      <c r="C39" s="132" t="s">
        <v>18</v>
      </c>
      <c r="D39" s="133">
        <v>310</v>
      </c>
      <c r="E39" s="133">
        <f>[4]บัญชีราคาต่อหน่วยชลประทาน!F8</f>
        <v>29.78</v>
      </c>
      <c r="F39" s="144">
        <f t="shared" ref="F39:F45" si="2">E39*D39</f>
        <v>9231.8000000000011</v>
      </c>
      <c r="G39" s="213">
        <f t="shared" si="1"/>
        <v>1.3366</v>
      </c>
      <c r="H39" s="133">
        <f>G39*E39</f>
        <v>39.803947999999998</v>
      </c>
      <c r="I39" s="133"/>
      <c r="J39" s="146">
        <f t="shared" ref="J39:J45" si="3">D39*H39</f>
        <v>12339.22388</v>
      </c>
    </row>
    <row r="40" spans="1:16" ht="20.25" customHeight="1">
      <c r="A40" s="132"/>
      <c r="B40" s="147" t="s">
        <v>1417</v>
      </c>
      <c r="C40" s="132"/>
      <c r="D40" s="133"/>
      <c r="E40" s="133"/>
      <c r="F40" s="148">
        <f>SUM(F38:F39)</f>
        <v>10550.2</v>
      </c>
      <c r="G40" s="145"/>
      <c r="H40" s="133"/>
      <c r="I40" s="133"/>
      <c r="J40" s="148">
        <f>SUM(J38:J39)</f>
        <v>14101.39732</v>
      </c>
    </row>
    <row r="41" spans="1:16" ht="20.25" customHeight="1">
      <c r="A41" s="151">
        <v>3</v>
      </c>
      <c r="B41" s="142" t="s">
        <v>1384</v>
      </c>
      <c r="C41" s="132"/>
      <c r="D41" s="133"/>
      <c r="E41" s="133"/>
      <c r="F41" s="144"/>
      <c r="G41" s="145"/>
      <c r="H41" s="133"/>
      <c r="I41" s="133"/>
      <c r="J41" s="146"/>
    </row>
    <row r="42" spans="1:16" ht="20.25" customHeight="1">
      <c r="A42" s="130">
        <v>1</v>
      </c>
      <c r="B42" s="134" t="s">
        <v>19</v>
      </c>
      <c r="C42" s="132" t="s">
        <v>18</v>
      </c>
      <c r="D42" s="133">
        <v>750</v>
      </c>
      <c r="E42" s="133">
        <f>[4]บัญชีราคาต่อหน่วยชลประทาน!F11</f>
        <v>18.59</v>
      </c>
      <c r="F42" s="144">
        <f t="shared" si="2"/>
        <v>13942.5</v>
      </c>
      <c r="G42" s="213">
        <f t="shared" ref="G42:G45" si="4">$G$6</f>
        <v>1.3366</v>
      </c>
      <c r="H42" s="133">
        <f>G42*E42</f>
        <v>24.847394000000001</v>
      </c>
      <c r="I42" s="133"/>
      <c r="J42" s="146">
        <f t="shared" si="3"/>
        <v>18635.5455</v>
      </c>
    </row>
    <row r="43" spans="1:16" ht="20.25" customHeight="1">
      <c r="A43" s="130">
        <v>2</v>
      </c>
      <c r="B43" s="134" t="s">
        <v>20</v>
      </c>
      <c r="C43" s="132" t="s">
        <v>18</v>
      </c>
      <c r="D43" s="133">
        <v>520</v>
      </c>
      <c r="E43" s="133">
        <f>[4]บัญชีราคาต่อหน่วยชลประทาน!F24</f>
        <v>374.89</v>
      </c>
      <c r="F43" s="144">
        <f t="shared" si="2"/>
        <v>194942.8</v>
      </c>
      <c r="G43" s="213">
        <f t="shared" si="4"/>
        <v>1.3366</v>
      </c>
      <c r="H43" s="133">
        <f t="shared" ref="H43:H66" si="5">G43*E43</f>
        <v>501.07797399999998</v>
      </c>
      <c r="I43" s="133"/>
      <c r="J43" s="146">
        <f t="shared" si="3"/>
        <v>260560.54647999999</v>
      </c>
    </row>
    <row r="44" spans="1:16" ht="20.25" customHeight="1">
      <c r="A44" s="130">
        <v>3</v>
      </c>
      <c r="B44" s="134" t="s">
        <v>21</v>
      </c>
      <c r="C44" s="132" t="s">
        <v>18</v>
      </c>
      <c r="D44" s="133">
        <v>320</v>
      </c>
      <c r="E44" s="133">
        <f>[4]บัญชีราคาต่อหน่วยชลประทาน!F32</f>
        <v>1460.09</v>
      </c>
      <c r="F44" s="144">
        <f t="shared" si="2"/>
        <v>467228.8</v>
      </c>
      <c r="G44" s="213">
        <f t="shared" si="4"/>
        <v>1.3366</v>
      </c>
      <c r="H44" s="133">
        <f>G44*E44</f>
        <v>1951.556294</v>
      </c>
      <c r="I44" s="133"/>
      <c r="J44" s="146">
        <f>D44*H44</f>
        <v>624498.01407999999</v>
      </c>
      <c r="P44" s="125" t="s">
        <v>22</v>
      </c>
    </row>
    <row r="45" spans="1:16" ht="20.25" customHeight="1">
      <c r="A45" s="130">
        <v>4</v>
      </c>
      <c r="B45" s="134" t="s">
        <v>23</v>
      </c>
      <c r="C45" s="132" t="s">
        <v>16</v>
      </c>
      <c r="D45" s="133">
        <v>1070</v>
      </c>
      <c r="E45" s="133">
        <f>[4]บัญชีราคาต่อหน่วยชลประทาน!F43</f>
        <v>69.1053584</v>
      </c>
      <c r="F45" s="144">
        <f t="shared" si="2"/>
        <v>73942.733487999998</v>
      </c>
      <c r="G45" s="213">
        <f t="shared" si="4"/>
        <v>1.3366</v>
      </c>
      <c r="H45" s="133">
        <f>G45*E45</f>
        <v>92.366222037439996</v>
      </c>
      <c r="I45" s="133"/>
      <c r="J45" s="146">
        <f t="shared" si="3"/>
        <v>98831.857580060794</v>
      </c>
    </row>
    <row r="46" spans="1:16" ht="18" customHeight="1">
      <c r="A46" s="130">
        <v>5</v>
      </c>
      <c r="B46" s="134" t="s">
        <v>24</v>
      </c>
      <c r="C46" s="132"/>
      <c r="D46" s="133"/>
      <c r="E46" s="133"/>
      <c r="F46" s="133"/>
      <c r="G46" s="133"/>
      <c r="H46" s="133"/>
      <c r="I46" s="133"/>
      <c r="J46" s="134"/>
    </row>
    <row r="47" spans="1:16">
      <c r="A47" s="137"/>
      <c r="B47" s="134" t="s">
        <v>25</v>
      </c>
      <c r="C47" s="132" t="s">
        <v>26</v>
      </c>
      <c r="D47" s="133">
        <v>60</v>
      </c>
      <c r="E47" s="133">
        <f>+ราคาต่อหน่วยในงานนี้!L50</f>
        <v>8777.23</v>
      </c>
      <c r="F47" s="144">
        <f>E47*D47</f>
        <v>526633.79999999993</v>
      </c>
      <c r="G47" s="213">
        <f t="shared" ref="G47:G51" si="6">$G$6</f>
        <v>1.3366</v>
      </c>
      <c r="H47" s="133">
        <f>G47*E47</f>
        <v>11731.645617999999</v>
      </c>
      <c r="I47" s="133"/>
      <c r="J47" s="146">
        <f t="shared" ref="J47:J66" si="7">D47*H47</f>
        <v>703898.73707999988</v>
      </c>
      <c r="M47" s="129" t="s">
        <v>1357</v>
      </c>
    </row>
    <row r="48" spans="1:16">
      <c r="A48" s="137"/>
      <c r="B48" s="134" t="s">
        <v>27</v>
      </c>
      <c r="C48" s="132" t="s">
        <v>26</v>
      </c>
      <c r="D48" s="133">
        <v>33</v>
      </c>
      <c r="E48" s="133">
        <f>[4]บัญชีราคาต่อหน่วยชลประทาน!F41</f>
        <v>1419.9454981930267</v>
      </c>
      <c r="F48" s="144">
        <f t="shared" ref="F48:F66" si="8">E48*D48</f>
        <v>46858.201440369878</v>
      </c>
      <c r="G48" s="213">
        <f t="shared" si="6"/>
        <v>1.3366</v>
      </c>
      <c r="H48" s="133">
        <f>G48*E48</f>
        <v>1897.8991528847994</v>
      </c>
      <c r="I48" s="133"/>
      <c r="J48" s="146">
        <f t="shared" si="7"/>
        <v>62630.672045198378</v>
      </c>
      <c r="M48" s="129"/>
    </row>
    <row r="49" spans="1:15">
      <c r="A49" s="137"/>
      <c r="B49" s="138" t="s">
        <v>31</v>
      </c>
      <c r="C49" s="132" t="s">
        <v>18</v>
      </c>
      <c r="D49" s="133">
        <f>15.11</f>
        <v>15.11</v>
      </c>
      <c r="E49" s="133">
        <f>+ราคาต่อหน่วยในงานนี้!K15</f>
        <v>4329.8333721400822</v>
      </c>
      <c r="F49" s="144">
        <f t="shared" si="8"/>
        <v>65423.782253036639</v>
      </c>
      <c r="G49" s="213">
        <f t="shared" si="6"/>
        <v>1.3366</v>
      </c>
      <c r="H49" s="133">
        <f>G49*E49</f>
        <v>5787.2552852024337</v>
      </c>
      <c r="I49" s="133"/>
      <c r="J49" s="146">
        <f t="shared" si="7"/>
        <v>87445.427359408772</v>
      </c>
      <c r="M49" s="134" t="s">
        <v>28</v>
      </c>
      <c r="N49" s="182" t="s">
        <v>29</v>
      </c>
      <c r="O49" s="134" t="s">
        <v>30</v>
      </c>
    </row>
    <row r="50" spans="1:15">
      <c r="A50" s="137"/>
      <c r="B50" s="138" t="s">
        <v>32</v>
      </c>
      <c r="C50" s="132" t="s">
        <v>33</v>
      </c>
      <c r="D50" s="133">
        <f>1509.72*1.1</f>
        <v>1660.6920000000002</v>
      </c>
      <c r="E50" s="133">
        <f>+ราคาต่อหน่วยในงานนี้!K30</f>
        <v>26.52</v>
      </c>
      <c r="F50" s="144">
        <f t="shared" si="8"/>
        <v>44041.551840000007</v>
      </c>
      <c r="G50" s="213">
        <f t="shared" si="6"/>
        <v>1.3366</v>
      </c>
      <c r="H50" s="133">
        <f>G50*E50</f>
        <v>35.446632000000001</v>
      </c>
      <c r="I50" s="133"/>
      <c r="J50" s="146">
        <f t="shared" si="7"/>
        <v>58865.938189344008</v>
      </c>
      <c r="M50" s="143">
        <v>2140.19</v>
      </c>
      <c r="N50" s="125">
        <f>D49+D54+D60</f>
        <v>128.59200000000001</v>
      </c>
      <c r="O50" s="125">
        <f>49.5+351.67+2.48</f>
        <v>403.65000000000003</v>
      </c>
    </row>
    <row r="51" spans="1:15">
      <c r="A51" s="137"/>
      <c r="B51" s="138" t="s">
        <v>34</v>
      </c>
      <c r="C51" s="132" t="s">
        <v>16</v>
      </c>
      <c r="D51" s="133">
        <v>15</v>
      </c>
      <c r="E51" s="133">
        <f>[4]บัญชีราคาต่อหน่วยชลประทาน!F42</f>
        <v>230</v>
      </c>
      <c r="F51" s="144">
        <f t="shared" si="8"/>
        <v>3450</v>
      </c>
      <c r="G51" s="213">
        <f t="shared" si="6"/>
        <v>1.3366</v>
      </c>
      <c r="H51" s="133">
        <f>G51*E51</f>
        <v>307.41800000000001</v>
      </c>
      <c r="I51" s="133"/>
      <c r="J51" s="146">
        <f t="shared" si="7"/>
        <v>4611.2700000000004</v>
      </c>
      <c r="M51" s="129"/>
    </row>
    <row r="52" spans="1:15" s="140" customFormat="1">
      <c r="A52" s="139"/>
      <c r="B52" s="147" t="s">
        <v>1412</v>
      </c>
      <c r="C52" s="135"/>
      <c r="D52" s="136"/>
      <c r="E52" s="136"/>
      <c r="F52" s="148">
        <f>SUM(F47:F51)</f>
        <v>686407.33553340635</v>
      </c>
      <c r="G52" s="145"/>
      <c r="H52" s="133"/>
      <c r="I52" s="136"/>
      <c r="J52" s="148">
        <f>SUM(J47:J51)</f>
        <v>917452.04467395111</v>
      </c>
      <c r="M52" s="141"/>
    </row>
    <row r="53" spans="1:15">
      <c r="A53" s="130">
        <v>6</v>
      </c>
      <c r="B53" s="138" t="s">
        <v>35</v>
      </c>
      <c r="C53" s="132"/>
      <c r="D53" s="133"/>
      <c r="E53" s="133"/>
      <c r="F53" s="133"/>
      <c r="G53" s="133"/>
      <c r="H53" s="133"/>
      <c r="I53" s="133"/>
      <c r="J53" s="134"/>
    </row>
    <row r="54" spans="1:15">
      <c r="A54" s="137"/>
      <c r="B54" s="138" t="s">
        <v>31</v>
      </c>
      <c r="C54" s="132" t="s">
        <v>18</v>
      </c>
      <c r="D54" s="133">
        <v>111</v>
      </c>
      <c r="E54" s="133">
        <f>+ราคาต่อหน่วยในงานนี้!K15</f>
        <v>4329.8333721400822</v>
      </c>
      <c r="F54" s="144">
        <f t="shared" si="8"/>
        <v>480611.50430754916</v>
      </c>
      <c r="G54" s="213">
        <f t="shared" ref="G54:G57" si="9">$G$6</f>
        <v>1.3366</v>
      </c>
      <c r="H54" s="133">
        <f>G54*E54</f>
        <v>5787.2552852024337</v>
      </c>
      <c r="I54" s="133"/>
      <c r="J54" s="146">
        <f>D54*H54</f>
        <v>642385.33665747009</v>
      </c>
    </row>
    <row r="55" spans="1:15">
      <c r="A55" s="137"/>
      <c r="B55" s="138" t="s">
        <v>32</v>
      </c>
      <c r="C55" s="132" t="s">
        <v>33</v>
      </c>
      <c r="D55" s="133">
        <f>18403.9*1.1</f>
        <v>20244.290000000005</v>
      </c>
      <c r="E55" s="133">
        <f>+E50</f>
        <v>26.52</v>
      </c>
      <c r="F55" s="144">
        <f t="shared" si="8"/>
        <v>536878.5708000001</v>
      </c>
      <c r="G55" s="213">
        <f t="shared" si="9"/>
        <v>1.3366</v>
      </c>
      <c r="H55" s="133">
        <f>G55*E55</f>
        <v>35.446632000000001</v>
      </c>
      <c r="I55" s="133"/>
      <c r="J55" s="146">
        <f>D55*H55</f>
        <v>717591.89773128019</v>
      </c>
    </row>
    <row r="56" spans="1:15">
      <c r="A56" s="137"/>
      <c r="B56" s="138" t="s">
        <v>36</v>
      </c>
      <c r="C56" s="132" t="s">
        <v>37</v>
      </c>
      <c r="D56" s="133">
        <v>69</v>
      </c>
      <c r="E56" s="133">
        <f>+ราคาต่อหน่วยในงานนี้!L42</f>
        <v>4361.49</v>
      </c>
      <c r="F56" s="144">
        <f t="shared" si="8"/>
        <v>300942.81</v>
      </c>
      <c r="G56" s="213">
        <f t="shared" si="9"/>
        <v>1.3366</v>
      </c>
      <c r="H56" s="133">
        <f>G56*E56</f>
        <v>5829.5675339999998</v>
      </c>
      <c r="I56" s="133"/>
      <c r="J56" s="146">
        <f t="shared" si="7"/>
        <v>402240.15984599997</v>
      </c>
      <c r="L56" s="129" t="s">
        <v>1354</v>
      </c>
    </row>
    <row r="57" spans="1:15">
      <c r="A57" s="137"/>
      <c r="B57" s="138" t="s">
        <v>38</v>
      </c>
      <c r="C57" s="132" t="s">
        <v>39</v>
      </c>
      <c r="D57" s="133">
        <v>34</v>
      </c>
      <c r="E57" s="133">
        <f>[4]บัญชีราคาต่อหน่วยชลประทาน!F38</f>
        <v>197.25457340000003</v>
      </c>
      <c r="F57" s="144">
        <f t="shared" si="8"/>
        <v>6706.6554956000009</v>
      </c>
      <c r="G57" s="213">
        <f t="shared" si="9"/>
        <v>1.3366</v>
      </c>
      <c r="H57" s="133">
        <f>G57*E57</f>
        <v>263.65046280644003</v>
      </c>
      <c r="I57" s="133"/>
      <c r="J57" s="146">
        <f>D57*H57</f>
        <v>8964.1157354189618</v>
      </c>
    </row>
    <row r="58" spans="1:15">
      <c r="A58" s="137"/>
      <c r="B58" s="147" t="s">
        <v>1382</v>
      </c>
      <c r="C58" s="132"/>
      <c r="D58" s="133"/>
      <c r="E58" s="133"/>
      <c r="F58" s="148">
        <f>SUM(F54:F57)</f>
        <v>1325139.5406031494</v>
      </c>
      <c r="G58" s="145"/>
      <c r="H58" s="133"/>
      <c r="I58" s="133"/>
      <c r="J58" s="148">
        <f>SUM(J54:J57)</f>
        <v>1771181.509970169</v>
      </c>
    </row>
    <row r="59" spans="1:15">
      <c r="A59" s="130">
        <v>7</v>
      </c>
      <c r="B59" s="138" t="s">
        <v>40</v>
      </c>
      <c r="C59" s="132"/>
      <c r="D59" s="133"/>
      <c r="E59" s="133"/>
      <c r="F59" s="133"/>
      <c r="G59" s="133"/>
      <c r="H59" s="133"/>
      <c r="I59" s="133"/>
      <c r="J59" s="134"/>
    </row>
    <row r="60" spans="1:15">
      <c r="A60" s="137"/>
      <c r="B60" s="138" t="s">
        <v>31</v>
      </c>
      <c r="C60" s="132" t="s">
        <v>18</v>
      </c>
      <c r="D60" s="133">
        <f>1.241*2</f>
        <v>2.4820000000000002</v>
      </c>
      <c r="E60" s="133">
        <f>+ราคาต่อหน่วยในงานนี้!K15</f>
        <v>4329.8333721400822</v>
      </c>
      <c r="F60" s="144">
        <f t="shared" si="8"/>
        <v>10746.646429651684</v>
      </c>
      <c r="G60" s="213">
        <f t="shared" ref="G60:G61" si="10">$G$6</f>
        <v>1.3366</v>
      </c>
      <c r="H60" s="133">
        <f>G60*E60</f>
        <v>5787.2552852024337</v>
      </c>
      <c r="I60" s="133"/>
      <c r="J60" s="146">
        <f>D60*H60</f>
        <v>14363.967617872442</v>
      </c>
    </row>
    <row r="61" spans="1:15">
      <c r="A61" s="137"/>
      <c r="B61" s="138" t="s">
        <v>32</v>
      </c>
      <c r="C61" s="132" t="s">
        <v>33</v>
      </c>
      <c r="D61" s="133">
        <f>(74.59+143.62)*1.1</f>
        <v>240.03100000000003</v>
      </c>
      <c r="E61" s="133">
        <f>+E50</f>
        <v>26.52</v>
      </c>
      <c r="F61" s="144">
        <f t="shared" si="8"/>
        <v>6365.6221200000009</v>
      </c>
      <c r="G61" s="213">
        <f t="shared" si="10"/>
        <v>1.3366</v>
      </c>
      <c r="H61" s="133">
        <f>G61*E61</f>
        <v>35.446632000000001</v>
      </c>
      <c r="I61" s="133"/>
      <c r="J61" s="146">
        <f>D61*H61</f>
        <v>8508.2905255920014</v>
      </c>
    </row>
    <row r="62" spans="1:15">
      <c r="A62" s="137"/>
      <c r="B62" s="147" t="s">
        <v>1383</v>
      </c>
      <c r="C62" s="132"/>
      <c r="D62" s="133"/>
      <c r="E62" s="133"/>
      <c r="F62" s="148">
        <f>SUM(F60:F61)</f>
        <v>17112.268549651686</v>
      </c>
      <c r="G62" s="145"/>
      <c r="H62" s="133"/>
      <c r="I62" s="133"/>
      <c r="J62" s="148">
        <f>SUM(J60:J61)</f>
        <v>22872.258143464445</v>
      </c>
    </row>
    <row r="63" spans="1:15">
      <c r="A63" s="130">
        <v>8</v>
      </c>
      <c r="B63" s="138" t="s">
        <v>41</v>
      </c>
      <c r="C63" s="132" t="s">
        <v>18</v>
      </c>
      <c r="D63" s="133">
        <v>24</v>
      </c>
      <c r="E63" s="133">
        <f>[4]บัญชีราคาต่อหน่วยชลประทาน!F45</f>
        <v>613.03</v>
      </c>
      <c r="F63" s="144">
        <f t="shared" si="8"/>
        <v>14712.72</v>
      </c>
      <c r="G63" s="213">
        <f t="shared" ref="G63:G66" si="11">$G$6</f>
        <v>1.3366</v>
      </c>
      <c r="H63" s="133">
        <f t="shared" si="5"/>
        <v>819.37589800000001</v>
      </c>
      <c r="I63" s="133"/>
      <c r="J63" s="146">
        <f t="shared" si="7"/>
        <v>19665.021551999998</v>
      </c>
    </row>
    <row r="64" spans="1:15">
      <c r="A64" s="130">
        <v>9</v>
      </c>
      <c r="B64" s="138" t="s">
        <v>42</v>
      </c>
      <c r="C64" s="132" t="s">
        <v>43</v>
      </c>
      <c r="D64" s="133">
        <v>33</v>
      </c>
      <c r="E64" s="133">
        <f>+ราคาต่อหน่วยในงานนี้!K74</f>
        <v>770.98</v>
      </c>
      <c r="F64" s="144">
        <f>E64*D64</f>
        <v>25442.34</v>
      </c>
      <c r="G64" s="213">
        <f t="shared" si="11"/>
        <v>1.3366</v>
      </c>
      <c r="H64" s="133">
        <f t="shared" si="5"/>
        <v>1030.4918680000001</v>
      </c>
      <c r="I64" s="133"/>
      <c r="J64" s="146">
        <f>D64*H64</f>
        <v>34006.231644</v>
      </c>
    </row>
    <row r="65" spans="1:10">
      <c r="A65" s="130">
        <v>10</v>
      </c>
      <c r="B65" s="138" t="s">
        <v>44</v>
      </c>
      <c r="C65" s="132" t="s">
        <v>45</v>
      </c>
      <c r="D65" s="133">
        <v>1</v>
      </c>
      <c r="E65" s="133">
        <v>75000</v>
      </c>
      <c r="F65" s="144">
        <f t="shared" si="8"/>
        <v>75000</v>
      </c>
      <c r="G65" s="213">
        <f t="shared" si="11"/>
        <v>1.3366</v>
      </c>
      <c r="H65" s="133">
        <f t="shared" si="5"/>
        <v>100245</v>
      </c>
      <c r="I65" s="133"/>
      <c r="J65" s="146">
        <f t="shared" si="7"/>
        <v>100245</v>
      </c>
    </row>
    <row r="66" spans="1:10">
      <c r="A66" s="130">
        <v>11</v>
      </c>
      <c r="B66" s="138" t="s">
        <v>46</v>
      </c>
      <c r="C66" s="132" t="s">
        <v>45</v>
      </c>
      <c r="D66" s="133">
        <v>1</v>
      </c>
      <c r="E66" s="133">
        <v>62500</v>
      </c>
      <c r="F66" s="144">
        <f t="shared" si="8"/>
        <v>62500</v>
      </c>
      <c r="G66" s="213">
        <f t="shared" si="11"/>
        <v>1.3366</v>
      </c>
      <c r="H66" s="133">
        <f t="shared" si="5"/>
        <v>83537.5</v>
      </c>
      <c r="I66" s="133"/>
      <c r="J66" s="146">
        <f t="shared" si="7"/>
        <v>83537.5</v>
      </c>
    </row>
    <row r="67" spans="1:10">
      <c r="A67" s="132"/>
      <c r="B67" s="135" t="s">
        <v>1413</v>
      </c>
      <c r="C67" s="132"/>
      <c r="D67" s="133"/>
      <c r="E67" s="133"/>
      <c r="F67" s="136">
        <f>F66+F65+F64+F63+F62+F58+F52+F45+F44+F43+F42</f>
        <v>2956371.0381742073</v>
      </c>
      <c r="G67" s="133"/>
      <c r="H67" s="133"/>
      <c r="I67" s="133"/>
      <c r="J67" s="136">
        <f>J66+J65+J64+J63+J62+J58+J52+J45+J44+J43+J42</f>
        <v>3951485.5296236454</v>
      </c>
    </row>
    <row r="68" spans="1:10">
      <c r="A68" s="132"/>
      <c r="B68" s="249" t="s">
        <v>971</v>
      </c>
      <c r="C68" s="132"/>
      <c r="D68" s="133"/>
      <c r="E68" s="133"/>
      <c r="F68" s="136">
        <f>SUM(F62+F58+F52+F63+F64+F65+F66+F45+F44+F43+F42+F40+F34)</f>
        <v>4366921.2381742075</v>
      </c>
      <c r="G68" s="133"/>
      <c r="H68" s="133"/>
      <c r="I68" s="133"/>
      <c r="J68" s="136">
        <f>SUM(J62+J58+J52+J63+J64+J65+J66+J45+J44+J43+J42+J40+J35)</f>
        <v>5836826.9269436449</v>
      </c>
    </row>
    <row r="70" spans="1:10">
      <c r="F70" s="127">
        <f>F68*G66</f>
        <v>5836826.9269436458</v>
      </c>
    </row>
  </sheetData>
  <mergeCells count="28">
    <mergeCell ref="C31:D31"/>
    <mergeCell ref="F31:F32"/>
    <mergeCell ref="J31:J32"/>
    <mergeCell ref="E31:E32"/>
    <mergeCell ref="A2:B2"/>
    <mergeCell ref="A31:A32"/>
    <mergeCell ref="B31:B32"/>
    <mergeCell ref="A17:J17"/>
    <mergeCell ref="A20:C20"/>
    <mergeCell ref="A21:C21"/>
    <mergeCell ref="D21:I21"/>
    <mergeCell ref="A24:B24"/>
    <mergeCell ref="A25:B25"/>
    <mergeCell ref="A28:B28"/>
    <mergeCell ref="A29:B29"/>
    <mergeCell ref="F29:H29"/>
    <mergeCell ref="C11:I11"/>
    <mergeCell ref="A13:J13"/>
    <mergeCell ref="A14:J14"/>
    <mergeCell ref="A16:J16"/>
    <mergeCell ref="A1:J1"/>
    <mergeCell ref="C2:E2"/>
    <mergeCell ref="H2:J2"/>
    <mergeCell ref="B3:B4"/>
    <mergeCell ref="C3:C4"/>
    <mergeCell ref="D3:D4"/>
    <mergeCell ref="H3:I3"/>
    <mergeCell ref="J3:J4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pageSetUpPr fitToPage="1"/>
  </sheetPr>
  <dimension ref="A1:I19"/>
  <sheetViews>
    <sheetView zoomScaleNormal="100" workbookViewId="0">
      <selection activeCell="A3" sqref="A3:I3"/>
    </sheetView>
  </sheetViews>
  <sheetFormatPr defaultColWidth="15.7109375" defaultRowHeight="21"/>
  <cols>
    <col min="1" max="1" width="8.28515625" style="250" customWidth="1"/>
    <col min="2" max="3" width="18.28515625" style="250" customWidth="1"/>
    <col min="4" max="4" width="24.140625" style="250" customWidth="1"/>
    <col min="5" max="6" width="10.7109375" style="250" customWidth="1"/>
    <col min="7" max="7" width="30.7109375" style="250" customWidth="1"/>
    <col min="8" max="9" width="10.7109375" style="250" customWidth="1"/>
    <col min="10" max="16384" width="15.7109375" style="250"/>
  </cols>
  <sheetData>
    <row r="1" spans="1:9">
      <c r="A1" s="298" t="s">
        <v>1418</v>
      </c>
      <c r="B1" s="298"/>
      <c r="C1" s="298"/>
      <c r="D1" s="298"/>
      <c r="E1" s="298"/>
      <c r="F1" s="298"/>
      <c r="G1" s="298"/>
      <c r="H1" s="298"/>
      <c r="I1" s="298"/>
    </row>
    <row r="2" spans="1:9">
      <c r="A2" s="299" t="s">
        <v>1419</v>
      </c>
      <c r="B2" s="299"/>
      <c r="C2" s="299"/>
      <c r="D2" s="299"/>
      <c r="E2" s="299"/>
      <c r="F2" s="299"/>
      <c r="G2" s="299"/>
      <c r="H2" s="299"/>
      <c r="I2" s="299"/>
    </row>
    <row r="3" spans="1:9">
      <c r="A3" s="300" t="s">
        <v>1470</v>
      </c>
      <c r="B3" s="300"/>
      <c r="C3" s="300"/>
      <c r="D3" s="300"/>
      <c r="E3" s="300"/>
      <c r="F3" s="300"/>
      <c r="G3" s="300"/>
      <c r="H3" s="300"/>
      <c r="I3" s="300"/>
    </row>
    <row r="4" spans="1:9">
      <c r="A4" s="300" t="s">
        <v>1460</v>
      </c>
      <c r="B4" s="300"/>
      <c r="C4" s="300"/>
      <c r="D4" s="300"/>
      <c r="E4" s="300"/>
      <c r="F4" s="251"/>
      <c r="G4" s="300" t="s">
        <v>1420</v>
      </c>
      <c r="H4" s="300"/>
      <c r="I4" s="300"/>
    </row>
    <row r="5" spans="1:9" ht="21.75" thickBot="1">
      <c r="A5" s="303" t="s">
        <v>1421</v>
      </c>
      <c r="B5" s="303"/>
      <c r="C5" s="303"/>
      <c r="D5" s="303"/>
      <c r="E5" s="303"/>
      <c r="F5" s="252"/>
      <c r="G5" s="304" t="s">
        <v>1469</v>
      </c>
      <c r="H5" s="304"/>
      <c r="I5" s="304"/>
    </row>
    <row r="6" spans="1:9" ht="22.5" thickTop="1" thickBot="1"/>
    <row r="7" spans="1:9" ht="21.75" thickTop="1">
      <c r="A7" s="305" t="s">
        <v>1422</v>
      </c>
      <c r="B7" s="305" t="s">
        <v>54</v>
      </c>
      <c r="C7" s="305"/>
      <c r="D7" s="305"/>
      <c r="E7" s="305" t="s">
        <v>1423</v>
      </c>
      <c r="F7" s="305" t="s">
        <v>5</v>
      </c>
      <c r="G7" s="307" t="s">
        <v>1424</v>
      </c>
      <c r="H7" s="305" t="s">
        <v>1347</v>
      </c>
      <c r="I7" s="305"/>
    </row>
    <row r="8" spans="1:9" ht="21.75" thickBot="1">
      <c r="A8" s="306"/>
      <c r="B8" s="306"/>
      <c r="C8" s="306"/>
      <c r="D8" s="306"/>
      <c r="E8" s="306"/>
      <c r="F8" s="306"/>
      <c r="G8" s="308"/>
      <c r="H8" s="306"/>
      <c r="I8" s="306"/>
    </row>
    <row r="9" spans="1:9" ht="21.75" thickTop="1">
      <c r="A9" s="253">
        <v>1</v>
      </c>
      <c r="B9" s="301" t="str">
        <f>[3]เหตุผลฯ!B4</f>
        <v>ค่าพาหนะไป-กลับของคนงาน</v>
      </c>
      <c r="C9" s="301"/>
      <c r="D9" s="301"/>
      <c r="E9" s="253">
        <v>1</v>
      </c>
      <c r="F9" s="253" t="s">
        <v>1425</v>
      </c>
      <c r="G9" s="254">
        <f>เหตุผลฯ!F32</f>
        <v>393225</v>
      </c>
      <c r="H9" s="302"/>
      <c r="I9" s="302"/>
    </row>
    <row r="10" spans="1:9">
      <c r="A10" s="255"/>
      <c r="B10" s="309" t="s">
        <v>22</v>
      </c>
      <c r="C10" s="309"/>
      <c r="D10" s="309"/>
      <c r="E10" s="255"/>
      <c r="F10" s="255"/>
      <c r="G10" s="256"/>
      <c r="H10" s="310"/>
      <c r="I10" s="310"/>
    </row>
    <row r="11" spans="1:9">
      <c r="A11" s="255"/>
      <c r="B11" s="309"/>
      <c r="C11" s="309"/>
      <c r="D11" s="309"/>
      <c r="E11" s="255"/>
      <c r="F11" s="255"/>
      <c r="G11" s="256"/>
      <c r="H11" s="310"/>
      <c r="I11" s="310"/>
    </row>
    <row r="12" spans="1:9">
      <c r="A12" s="255"/>
      <c r="B12" s="309"/>
      <c r="C12" s="309"/>
      <c r="D12" s="309"/>
      <c r="E12" s="255"/>
      <c r="F12" s="255"/>
      <c r="G12" s="256"/>
      <c r="H12" s="310"/>
      <c r="I12" s="310"/>
    </row>
    <row r="13" spans="1:9">
      <c r="A13" s="255"/>
      <c r="B13" s="309"/>
      <c r="C13" s="309"/>
      <c r="D13" s="309"/>
      <c r="E13" s="255"/>
      <c r="F13" s="255"/>
      <c r="G13" s="256"/>
      <c r="H13" s="310"/>
      <c r="I13" s="310"/>
    </row>
    <row r="14" spans="1:9">
      <c r="A14" s="255"/>
      <c r="B14" s="309"/>
      <c r="C14" s="309"/>
      <c r="D14" s="309"/>
      <c r="E14" s="255"/>
      <c r="F14" s="255"/>
      <c r="G14" s="256"/>
      <c r="H14" s="310"/>
      <c r="I14" s="310"/>
    </row>
    <row r="15" spans="1:9">
      <c r="A15" s="255"/>
      <c r="B15" s="309"/>
      <c r="C15" s="309"/>
      <c r="D15" s="309"/>
      <c r="E15" s="255"/>
      <c r="F15" s="255"/>
      <c r="G15" s="256"/>
      <c r="H15" s="310"/>
      <c r="I15" s="310"/>
    </row>
    <row r="16" spans="1:9" ht="21.75" thickBot="1">
      <c r="A16" s="257"/>
      <c r="B16" s="311"/>
      <c r="C16" s="311"/>
      <c r="D16" s="311"/>
      <c r="E16" s="257"/>
      <c r="F16" s="257"/>
      <c r="G16" s="258"/>
      <c r="H16" s="312"/>
      <c r="I16" s="312"/>
    </row>
    <row r="17" spans="1:9" ht="22.5" thickTop="1" thickBot="1">
      <c r="A17" s="259"/>
      <c r="B17" s="313" t="s">
        <v>1426</v>
      </c>
      <c r="C17" s="313"/>
      <c r="D17" s="313"/>
      <c r="E17" s="313"/>
      <c r="F17" s="313"/>
      <c r="G17" s="260">
        <f>SUM(G9:G16)</f>
        <v>393225</v>
      </c>
      <c r="H17" s="313"/>
      <c r="I17" s="313"/>
    </row>
    <row r="18" spans="1:9" ht="22.5" thickTop="1" thickBot="1">
      <c r="A18" s="259"/>
      <c r="B18" s="261"/>
      <c r="C18" s="261"/>
      <c r="D18" s="261"/>
      <c r="E18" s="261"/>
      <c r="F18" s="262" t="s">
        <v>1427</v>
      </c>
      <c r="G18" s="314" t="str">
        <f>BAHTTEXT(G17)</f>
        <v>สามแสนเก้าหมื่นสามพันสองร้อยยี่สิบห้าบาทถ้วน</v>
      </c>
      <c r="H18" s="314"/>
      <c r="I18" s="314"/>
    </row>
    <row r="19" spans="1:9" ht="21.75" thickTop="1"/>
  </sheetData>
  <mergeCells count="32">
    <mergeCell ref="B16:D16"/>
    <mergeCell ref="H16:I16"/>
    <mergeCell ref="B17:F17"/>
    <mergeCell ref="H17:I17"/>
    <mergeCell ref="G18:I18"/>
    <mergeCell ref="B13:D13"/>
    <mergeCell ref="H13:I13"/>
    <mergeCell ref="B14:D14"/>
    <mergeCell ref="H14:I14"/>
    <mergeCell ref="B15:D15"/>
    <mergeCell ref="H15:I15"/>
    <mergeCell ref="B10:D10"/>
    <mergeCell ref="H10:I10"/>
    <mergeCell ref="B11:D11"/>
    <mergeCell ref="H11:I11"/>
    <mergeCell ref="B12:D12"/>
    <mergeCell ref="H12:I12"/>
    <mergeCell ref="B9:D9"/>
    <mergeCell ref="H9:I9"/>
    <mergeCell ref="A5:E5"/>
    <mergeCell ref="G5:I5"/>
    <mergeCell ref="A7:A8"/>
    <mergeCell ref="B7:D8"/>
    <mergeCell ref="E7:E8"/>
    <mergeCell ref="F7:F8"/>
    <mergeCell ref="G7:G8"/>
    <mergeCell ref="H7:I8"/>
    <mergeCell ref="A1:I1"/>
    <mergeCell ref="A2:I2"/>
    <mergeCell ref="A3:I3"/>
    <mergeCell ref="A4:E4"/>
    <mergeCell ref="G4:I4"/>
  </mergeCells>
  <printOptions horizontalCentered="1"/>
  <pageMargins left="0.7" right="0.7" top="0.75" bottom="0.75" header="0.3" footer="0.3"/>
  <pageSetup paperSize="9" scale="98" fitToHeight="0" orientation="landscape" verticalDpi="597" r:id="rId1"/>
  <headerFooter>
    <oddHeader>&amp;Rปร.4(พ) แผ่นที่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pageSetUpPr fitToPage="1"/>
  </sheetPr>
  <dimension ref="A1:G120"/>
  <sheetViews>
    <sheetView view="pageBreakPreview" zoomScale="85" zoomScaleNormal="100" zoomScaleSheetLayoutView="85" workbookViewId="0">
      <selection activeCell="D7" sqref="D7"/>
    </sheetView>
  </sheetViews>
  <sheetFormatPr defaultColWidth="12.7109375" defaultRowHeight="27"/>
  <cols>
    <col min="1" max="1" width="8.7109375" style="154" customWidth="1"/>
    <col min="2" max="2" width="17.85546875" style="154" customWidth="1"/>
    <col min="3" max="3" width="15.7109375" style="154" customWidth="1"/>
    <col min="4" max="4" width="44.42578125" style="154" customWidth="1"/>
    <col min="5" max="5" width="15" style="154" customWidth="1"/>
    <col min="6" max="6" width="20.7109375" style="154" customWidth="1"/>
    <col min="7" max="7" width="15.7109375" style="154" customWidth="1"/>
    <col min="8" max="16384" width="12.7109375" style="154"/>
  </cols>
  <sheetData>
    <row r="1" spans="1:7">
      <c r="A1" s="316" t="s">
        <v>1428</v>
      </c>
      <c r="B1" s="316"/>
      <c r="C1" s="316"/>
      <c r="D1" s="316"/>
      <c r="E1" s="316"/>
      <c r="F1" s="316"/>
      <c r="G1" s="316"/>
    </row>
    <row r="2" spans="1:7">
      <c r="A2" s="316" t="s">
        <v>1429</v>
      </c>
      <c r="B2" s="316"/>
      <c r="C2" s="316"/>
      <c r="D2" s="316"/>
      <c r="E2" s="316"/>
      <c r="F2" s="316"/>
      <c r="G2" s="316"/>
    </row>
    <row r="4" spans="1:7" s="157" customFormat="1">
      <c r="A4" s="155" t="s">
        <v>54</v>
      </c>
      <c r="B4" s="156" t="s">
        <v>1430</v>
      </c>
      <c r="C4" s="155"/>
      <c r="D4" s="155"/>
      <c r="E4" s="155"/>
      <c r="F4" s="155"/>
      <c r="G4" s="155"/>
    </row>
    <row r="5" spans="1:7">
      <c r="A5" s="158" t="s">
        <v>1431</v>
      </c>
      <c r="B5" s="158"/>
      <c r="C5" s="158" t="s">
        <v>1472</v>
      </c>
      <c r="D5" s="158"/>
      <c r="E5" s="158"/>
      <c r="F5" s="158"/>
      <c r="G5" s="158"/>
    </row>
    <row r="6" spans="1:7">
      <c r="A6" s="158" t="s">
        <v>1433</v>
      </c>
      <c r="B6" s="158"/>
      <c r="C6" s="159" t="s">
        <v>1461</v>
      </c>
      <c r="D6" s="158"/>
      <c r="E6" s="158" t="s">
        <v>1434</v>
      </c>
      <c r="F6" s="160"/>
      <c r="G6" s="158"/>
    </row>
    <row r="7" spans="1:7">
      <c r="A7" s="158" t="s">
        <v>1436</v>
      </c>
      <c r="B7" s="158"/>
      <c r="C7" s="158" t="s">
        <v>1461</v>
      </c>
      <c r="D7" s="158"/>
      <c r="E7" s="158"/>
      <c r="F7" s="158"/>
      <c r="G7" s="158"/>
    </row>
    <row r="8" spans="1:7">
      <c r="A8" s="158" t="s">
        <v>1437</v>
      </c>
      <c r="B8" s="158"/>
      <c r="C8" s="158" t="s">
        <v>1438</v>
      </c>
      <c r="D8" s="158"/>
      <c r="E8" s="158" t="s">
        <v>1439</v>
      </c>
      <c r="F8" s="161" t="s">
        <v>1471</v>
      </c>
      <c r="G8" s="158"/>
    </row>
    <row r="10" spans="1:7">
      <c r="B10" s="154" t="s">
        <v>1441</v>
      </c>
    </row>
    <row r="11" spans="1:7">
      <c r="B11" s="158" t="s">
        <v>1442</v>
      </c>
      <c r="C11" s="158"/>
      <c r="D11" s="158"/>
      <c r="E11" s="158"/>
      <c r="F11" s="158"/>
      <c r="G11" s="158"/>
    </row>
    <row r="12" spans="1:7">
      <c r="A12" s="158"/>
      <c r="B12" s="158"/>
      <c r="C12" s="158"/>
      <c r="D12" s="158"/>
      <c r="E12" s="158"/>
      <c r="F12" s="158"/>
      <c r="G12" s="158"/>
    </row>
    <row r="13" spans="1:7">
      <c r="A13" s="158"/>
      <c r="B13" s="158"/>
      <c r="C13" s="158"/>
      <c r="D13" s="158"/>
      <c r="E13" s="158"/>
      <c r="F13" s="158"/>
      <c r="G13" s="158"/>
    </row>
    <row r="14" spans="1:7">
      <c r="B14" s="154" t="s">
        <v>1443</v>
      </c>
    </row>
    <row r="15" spans="1:7">
      <c r="B15" s="158" t="s">
        <v>1464</v>
      </c>
      <c r="C15" s="158"/>
      <c r="D15" s="158"/>
      <c r="E15" s="158"/>
      <c r="F15" s="158"/>
      <c r="G15" s="158"/>
    </row>
    <row r="16" spans="1:7">
      <c r="A16" s="158" t="s">
        <v>1466</v>
      </c>
      <c r="B16" s="158"/>
      <c r="C16" s="158"/>
      <c r="D16" s="158"/>
      <c r="E16" s="158"/>
      <c r="F16" s="158"/>
      <c r="G16" s="158"/>
    </row>
    <row r="17" spans="1:7">
      <c r="A17" s="158"/>
      <c r="B17" s="158"/>
      <c r="C17" s="158"/>
      <c r="D17" s="158"/>
      <c r="E17" s="158"/>
      <c r="F17" s="158"/>
      <c r="G17" s="158"/>
    </row>
    <row r="18" spans="1:7" ht="27.75" thickBot="1"/>
    <row r="19" spans="1:7" ht="28.5" thickTop="1" thickBot="1">
      <c r="A19" s="162" t="s">
        <v>1390</v>
      </c>
      <c r="B19" s="317" t="s">
        <v>1444</v>
      </c>
      <c r="C19" s="317"/>
      <c r="D19" s="317"/>
      <c r="E19" s="317"/>
      <c r="F19" s="162" t="s">
        <v>1423</v>
      </c>
      <c r="G19" s="162" t="s">
        <v>1347</v>
      </c>
    </row>
    <row r="20" spans="1:7" ht="27.75" thickTop="1">
      <c r="A20" s="163">
        <v>1</v>
      </c>
      <c r="B20" s="318" t="s">
        <v>1465</v>
      </c>
      <c r="C20" s="318"/>
      <c r="D20" s="318"/>
      <c r="E20" s="318"/>
      <c r="F20" s="164">
        <f>1225*300</f>
        <v>367500</v>
      </c>
      <c r="G20" s="165"/>
    </row>
    <row r="21" spans="1:7">
      <c r="A21" s="166"/>
      <c r="B21" s="315"/>
      <c r="C21" s="315"/>
      <c r="D21" s="315"/>
      <c r="E21" s="315"/>
      <c r="F21" s="167"/>
      <c r="G21" s="168"/>
    </row>
    <row r="22" spans="1:7">
      <c r="A22" s="166"/>
      <c r="B22" s="315"/>
      <c r="C22" s="315"/>
      <c r="D22" s="315"/>
      <c r="E22" s="315"/>
      <c r="F22" s="167"/>
      <c r="G22" s="168"/>
    </row>
    <row r="23" spans="1:7">
      <c r="A23" s="166"/>
      <c r="B23" s="315"/>
      <c r="C23" s="315"/>
      <c r="D23" s="315"/>
      <c r="E23" s="315"/>
      <c r="F23" s="167"/>
      <c r="G23" s="168"/>
    </row>
    <row r="24" spans="1:7">
      <c r="A24" s="166"/>
      <c r="B24" s="315"/>
      <c r="C24" s="315"/>
      <c r="D24" s="315"/>
      <c r="E24" s="315"/>
      <c r="F24" s="167"/>
      <c r="G24" s="168"/>
    </row>
    <row r="25" spans="1:7">
      <c r="A25" s="166"/>
      <c r="B25" s="315"/>
      <c r="C25" s="315"/>
      <c r="D25" s="315"/>
      <c r="E25" s="315"/>
      <c r="F25" s="167"/>
      <c r="G25" s="168"/>
    </row>
    <row r="26" spans="1:7">
      <c r="A26" s="166"/>
      <c r="B26" s="315"/>
      <c r="C26" s="315"/>
      <c r="D26" s="315"/>
      <c r="E26" s="315"/>
      <c r="F26" s="167"/>
      <c r="G26" s="168"/>
    </row>
    <row r="27" spans="1:7">
      <c r="A27" s="166"/>
      <c r="B27" s="315"/>
      <c r="C27" s="315"/>
      <c r="D27" s="315"/>
      <c r="E27" s="315"/>
      <c r="F27" s="167"/>
      <c r="G27" s="168"/>
    </row>
    <row r="28" spans="1:7">
      <c r="A28" s="166"/>
      <c r="B28" s="315"/>
      <c r="C28" s="315"/>
      <c r="D28" s="315"/>
      <c r="E28" s="315"/>
      <c r="F28" s="167"/>
      <c r="G28" s="168"/>
    </row>
    <row r="29" spans="1:7" ht="27.75" thickBot="1">
      <c r="A29" s="169"/>
      <c r="B29" s="322"/>
      <c r="C29" s="322"/>
      <c r="D29" s="322"/>
      <c r="E29" s="322"/>
      <c r="F29" s="170"/>
      <c r="G29" s="169"/>
    </row>
    <row r="30" spans="1:7" ht="27.75" thickTop="1">
      <c r="E30" s="171" t="s">
        <v>1445</v>
      </c>
      <c r="F30" s="172">
        <f>SUM(F20:F29)</f>
        <v>367500</v>
      </c>
      <c r="G30" s="173"/>
    </row>
    <row r="31" spans="1:7">
      <c r="E31" s="171" t="s">
        <v>1446</v>
      </c>
      <c r="F31" s="174">
        <f>F30*7%</f>
        <v>25725.000000000004</v>
      </c>
      <c r="G31" s="175"/>
    </row>
    <row r="32" spans="1:7" ht="27.75" thickBot="1">
      <c r="D32" s="157"/>
      <c r="E32" s="171" t="s">
        <v>1447</v>
      </c>
      <c r="F32" s="176">
        <f>F30+F31</f>
        <v>393225</v>
      </c>
      <c r="G32" s="177"/>
    </row>
    <row r="33" spans="1:7" ht="27.75" thickTop="1"/>
    <row r="42" spans="1:7" hidden="1">
      <c r="A42" s="316" t="s">
        <v>1428</v>
      </c>
      <c r="B42" s="316"/>
      <c r="C42" s="316"/>
      <c r="D42" s="316"/>
      <c r="E42" s="316"/>
      <c r="F42" s="316"/>
      <c r="G42" s="316"/>
    </row>
    <row r="43" spans="1:7" hidden="1">
      <c r="A43" s="316" t="s">
        <v>1429</v>
      </c>
      <c r="B43" s="316"/>
      <c r="C43" s="316"/>
      <c r="D43" s="316"/>
      <c r="E43" s="316"/>
      <c r="F43" s="316"/>
      <c r="G43" s="316"/>
    </row>
    <row r="44" spans="1:7" hidden="1"/>
    <row r="45" spans="1:7" hidden="1">
      <c r="A45" s="155" t="s">
        <v>54</v>
      </c>
      <c r="B45" s="156" t="s">
        <v>1448</v>
      </c>
      <c r="C45" s="155"/>
      <c r="D45" s="155"/>
      <c r="E45" s="155"/>
      <c r="F45" s="155"/>
      <c r="G45" s="155"/>
    </row>
    <row r="46" spans="1:7" hidden="1">
      <c r="A46" s="158" t="s">
        <v>1431</v>
      </c>
      <c r="B46" s="158"/>
      <c r="C46" s="158" t="s">
        <v>1432</v>
      </c>
      <c r="D46" s="158"/>
      <c r="E46" s="158"/>
      <c r="F46" s="158"/>
      <c r="G46" s="158"/>
    </row>
    <row r="47" spans="1:7" hidden="1">
      <c r="A47" s="158" t="s">
        <v>1433</v>
      </c>
      <c r="B47" s="158"/>
      <c r="C47" s="159" t="s">
        <v>1461</v>
      </c>
      <c r="D47" s="158"/>
      <c r="E47" s="158" t="s">
        <v>1434</v>
      </c>
      <c r="F47" s="160" t="s">
        <v>1458</v>
      </c>
      <c r="G47" s="158"/>
    </row>
    <row r="48" spans="1:7" hidden="1">
      <c r="A48" s="158" t="s">
        <v>1436</v>
      </c>
      <c r="B48" s="158"/>
      <c r="C48" s="158" t="s">
        <v>1461</v>
      </c>
      <c r="D48" s="158"/>
      <c r="E48" s="158"/>
      <c r="F48" s="158"/>
      <c r="G48" s="158"/>
    </row>
    <row r="49" spans="1:7" hidden="1">
      <c r="A49" s="158" t="s">
        <v>1437</v>
      </c>
      <c r="B49" s="158"/>
      <c r="C49" s="158" t="s">
        <v>1438</v>
      </c>
      <c r="D49" s="158"/>
      <c r="E49" s="158" t="s">
        <v>1439</v>
      </c>
      <c r="F49" s="161" t="s">
        <v>1463</v>
      </c>
      <c r="G49" s="158"/>
    </row>
    <row r="50" spans="1:7" hidden="1"/>
    <row r="51" spans="1:7" hidden="1">
      <c r="B51" s="154" t="s">
        <v>1441</v>
      </c>
    </row>
    <row r="52" spans="1:7" hidden="1">
      <c r="B52" s="158" t="s">
        <v>1449</v>
      </c>
      <c r="C52" s="158"/>
      <c r="D52" s="158"/>
      <c r="E52" s="158"/>
      <c r="F52" s="158"/>
      <c r="G52" s="158"/>
    </row>
    <row r="53" spans="1:7" hidden="1">
      <c r="A53" s="158"/>
      <c r="B53" s="158"/>
      <c r="C53" s="158"/>
      <c r="D53" s="158"/>
      <c r="E53" s="158"/>
      <c r="F53" s="158"/>
      <c r="G53" s="158"/>
    </row>
    <row r="54" spans="1:7" hidden="1">
      <c r="A54" s="158"/>
      <c r="B54" s="158"/>
      <c r="C54" s="158"/>
      <c r="D54" s="158"/>
      <c r="E54" s="158"/>
      <c r="F54" s="158"/>
      <c r="G54" s="158"/>
    </row>
    <row r="55" spans="1:7" hidden="1">
      <c r="A55" s="158"/>
      <c r="B55" s="158"/>
      <c r="C55" s="158"/>
      <c r="D55" s="158"/>
      <c r="E55" s="158"/>
      <c r="F55" s="158"/>
      <c r="G55" s="158"/>
    </row>
    <row r="56" spans="1:7" hidden="1">
      <c r="A56" s="158"/>
      <c r="B56" s="158"/>
      <c r="C56" s="158"/>
      <c r="D56" s="158"/>
      <c r="E56" s="158"/>
      <c r="F56" s="158"/>
      <c r="G56" s="158"/>
    </row>
    <row r="57" spans="1:7" hidden="1">
      <c r="A57" s="158"/>
      <c r="B57" s="158"/>
      <c r="C57" s="158"/>
      <c r="D57" s="158"/>
      <c r="E57" s="158"/>
      <c r="F57" s="158"/>
      <c r="G57" s="158"/>
    </row>
    <row r="58" spans="1:7" hidden="1">
      <c r="B58" s="154" t="s">
        <v>1443</v>
      </c>
    </row>
    <row r="59" spans="1:7" hidden="1">
      <c r="B59" s="158" t="s">
        <v>1450</v>
      </c>
      <c r="C59" s="158"/>
      <c r="D59" s="158"/>
      <c r="E59" s="158"/>
      <c r="F59" s="158"/>
      <c r="G59" s="158"/>
    </row>
    <row r="60" spans="1:7" hidden="1">
      <c r="A60" s="158"/>
      <c r="B60" s="158" t="s">
        <v>1462</v>
      </c>
      <c r="C60" s="158"/>
      <c r="D60" s="158"/>
      <c r="E60" s="158"/>
      <c r="F60" s="158"/>
      <c r="G60" s="158"/>
    </row>
    <row r="61" spans="1:7" hidden="1">
      <c r="A61" s="158"/>
      <c r="B61" s="158"/>
      <c r="C61" s="158"/>
      <c r="D61" s="158"/>
      <c r="E61" s="158"/>
      <c r="F61" s="158"/>
      <c r="G61" s="158"/>
    </row>
    <row r="62" spans="1:7" ht="27.75" hidden="1" thickBot="1"/>
    <row r="63" spans="1:7" ht="28.5" hidden="1" thickTop="1" thickBot="1">
      <c r="A63" s="162" t="s">
        <v>1390</v>
      </c>
      <c r="B63" s="323" t="s">
        <v>1444</v>
      </c>
      <c r="C63" s="324"/>
      <c r="D63" s="325"/>
      <c r="E63" s="162"/>
      <c r="F63" s="162" t="s">
        <v>1423</v>
      </c>
      <c r="G63" s="162" t="s">
        <v>1347</v>
      </c>
    </row>
    <row r="64" spans="1:7" ht="27.75" hidden="1" thickTop="1">
      <c r="A64" s="163">
        <v>1</v>
      </c>
      <c r="B64" s="326" t="s">
        <v>1451</v>
      </c>
      <c r="C64" s="327"/>
      <c r="D64" s="328"/>
      <c r="E64" s="178"/>
      <c r="F64" s="164">
        <f>(2.5*120*51)+(80*2.5*50)</f>
        <v>25300</v>
      </c>
      <c r="G64" s="165"/>
    </row>
    <row r="65" spans="1:7" hidden="1">
      <c r="A65" s="166">
        <v>2</v>
      </c>
      <c r="B65" s="319" t="s">
        <v>1452</v>
      </c>
      <c r="C65" s="320"/>
      <c r="D65" s="321"/>
      <c r="E65" s="179"/>
      <c r="F65" s="167">
        <f>(400*90*2)</f>
        <v>72000</v>
      </c>
      <c r="G65" s="168"/>
    </row>
    <row r="66" spans="1:7" hidden="1">
      <c r="A66" s="166">
        <v>3</v>
      </c>
      <c r="B66" s="319" t="s">
        <v>1453</v>
      </c>
      <c r="C66" s="320"/>
      <c r="D66" s="321"/>
      <c r="E66" s="179"/>
      <c r="F66" s="167">
        <v>40000</v>
      </c>
      <c r="G66" s="168"/>
    </row>
    <row r="67" spans="1:7" hidden="1">
      <c r="A67" s="166"/>
      <c r="B67" s="332"/>
      <c r="C67" s="333"/>
      <c r="D67" s="334"/>
      <c r="E67" s="179"/>
      <c r="F67" s="167"/>
      <c r="G67" s="168"/>
    </row>
    <row r="68" spans="1:7" hidden="1">
      <c r="A68" s="166"/>
      <c r="B68" s="332"/>
      <c r="C68" s="333"/>
      <c r="D68" s="334"/>
      <c r="E68" s="179"/>
      <c r="F68" s="167"/>
      <c r="G68" s="168"/>
    </row>
    <row r="69" spans="1:7" hidden="1">
      <c r="A69" s="166"/>
      <c r="B69" s="332"/>
      <c r="C69" s="333"/>
      <c r="D69" s="334"/>
      <c r="E69" s="179"/>
      <c r="F69" s="167"/>
      <c r="G69" s="168"/>
    </row>
    <row r="70" spans="1:7" hidden="1">
      <c r="A70" s="166"/>
      <c r="B70" s="332"/>
      <c r="C70" s="333"/>
      <c r="D70" s="334"/>
      <c r="E70" s="179"/>
      <c r="F70" s="167"/>
      <c r="G70" s="168"/>
    </row>
    <row r="71" spans="1:7" hidden="1">
      <c r="A71" s="166"/>
      <c r="B71" s="332"/>
      <c r="C71" s="333"/>
      <c r="D71" s="334"/>
      <c r="E71" s="179"/>
      <c r="F71" s="167"/>
      <c r="G71" s="168"/>
    </row>
    <row r="72" spans="1:7" hidden="1">
      <c r="A72" s="166"/>
      <c r="B72" s="332"/>
      <c r="C72" s="333"/>
      <c r="D72" s="334"/>
      <c r="E72" s="179"/>
      <c r="F72" s="167"/>
      <c r="G72" s="168"/>
    </row>
    <row r="73" spans="1:7" ht="27.75" hidden="1" thickBot="1">
      <c r="A73" s="169"/>
      <c r="B73" s="335"/>
      <c r="C73" s="336"/>
      <c r="D73" s="337"/>
      <c r="E73" s="180"/>
      <c r="F73" s="170"/>
      <c r="G73" s="169"/>
    </row>
    <row r="74" spans="1:7" ht="27.75" hidden="1" thickTop="1">
      <c r="E74" s="171" t="s">
        <v>1445</v>
      </c>
      <c r="F74" s="172">
        <f>SUM(F64:F73)</f>
        <v>137300</v>
      </c>
      <c r="G74" s="173"/>
    </row>
    <row r="75" spans="1:7" hidden="1">
      <c r="E75" s="171" t="s">
        <v>1446</v>
      </c>
      <c r="F75" s="174">
        <f>F74*7%</f>
        <v>9611.0000000000018</v>
      </c>
      <c r="G75" s="175"/>
    </row>
    <row r="76" spans="1:7" ht="27.75" hidden="1" thickBot="1">
      <c r="D76" s="157"/>
      <c r="E76" s="171" t="s">
        <v>1447</v>
      </c>
      <c r="F76" s="176">
        <f>F74+F75</f>
        <v>146911</v>
      </c>
      <c r="G76" s="177"/>
    </row>
    <row r="77" spans="1:7" ht="27.75" hidden="1" thickTop="1"/>
    <row r="78" spans="1:7" hidden="1"/>
    <row r="86" spans="1:7" hidden="1">
      <c r="A86" s="316" t="s">
        <v>1428</v>
      </c>
      <c r="B86" s="316"/>
      <c r="C86" s="316"/>
      <c r="D86" s="316"/>
      <c r="E86" s="316"/>
      <c r="F86" s="316"/>
      <c r="G86" s="316"/>
    </row>
    <row r="87" spans="1:7" hidden="1">
      <c r="A87" s="316" t="s">
        <v>1429</v>
      </c>
      <c r="B87" s="316"/>
      <c r="C87" s="316"/>
      <c r="D87" s="316"/>
      <c r="E87" s="316"/>
      <c r="F87" s="316"/>
      <c r="G87" s="316"/>
    </row>
    <row r="88" spans="1:7" hidden="1"/>
    <row r="89" spans="1:7" hidden="1">
      <c r="A89" s="155" t="s">
        <v>54</v>
      </c>
      <c r="B89" s="156" t="s">
        <v>1454</v>
      </c>
      <c r="C89" s="155"/>
      <c r="D89" s="155"/>
      <c r="E89" s="155"/>
      <c r="F89" s="155"/>
      <c r="G89" s="155"/>
    </row>
    <row r="90" spans="1:7" hidden="1">
      <c r="A90" s="158" t="s">
        <v>1431</v>
      </c>
      <c r="B90" s="158"/>
      <c r="C90" s="158" t="s">
        <v>1432</v>
      </c>
      <c r="D90" s="158"/>
      <c r="E90" s="158"/>
      <c r="F90" s="158"/>
      <c r="G90" s="158"/>
    </row>
    <row r="91" spans="1:7" hidden="1">
      <c r="A91" s="158" t="s">
        <v>1433</v>
      </c>
      <c r="B91" s="158"/>
      <c r="C91" s="159" t="s">
        <v>1385</v>
      </c>
      <c r="D91" s="158"/>
      <c r="E91" s="158" t="s">
        <v>1434</v>
      </c>
      <c r="F91" s="181" t="s">
        <v>1435</v>
      </c>
      <c r="G91" s="158"/>
    </row>
    <row r="92" spans="1:7" hidden="1">
      <c r="A92" s="158" t="s">
        <v>1436</v>
      </c>
      <c r="B92" s="158"/>
      <c r="C92" s="158" t="s">
        <v>1385</v>
      </c>
      <c r="D92" s="158"/>
      <c r="E92" s="158"/>
      <c r="F92" s="158"/>
      <c r="G92" s="158"/>
    </row>
    <row r="93" spans="1:7" hidden="1">
      <c r="A93" s="158" t="s">
        <v>1437</v>
      </c>
      <c r="B93" s="158"/>
      <c r="C93" s="158" t="s">
        <v>1438</v>
      </c>
      <c r="D93" s="158"/>
      <c r="E93" s="158" t="s">
        <v>1439</v>
      </c>
      <c r="F93" s="161" t="s">
        <v>1440</v>
      </c>
      <c r="G93" s="158"/>
    </row>
    <row r="94" spans="1:7" hidden="1"/>
    <row r="95" spans="1:7" hidden="1">
      <c r="B95" s="154" t="s">
        <v>1441</v>
      </c>
    </row>
    <row r="96" spans="1:7" hidden="1">
      <c r="B96" s="158" t="s">
        <v>1455</v>
      </c>
      <c r="C96" s="158"/>
      <c r="D96" s="158"/>
      <c r="E96" s="158"/>
      <c r="F96" s="158"/>
      <c r="G96" s="158"/>
    </row>
    <row r="97" spans="1:7" hidden="1">
      <c r="A97" s="158"/>
      <c r="B97" s="158"/>
      <c r="C97" s="158"/>
      <c r="D97" s="158"/>
      <c r="E97" s="158"/>
      <c r="F97" s="158"/>
      <c r="G97" s="158"/>
    </row>
    <row r="98" spans="1:7" hidden="1">
      <c r="A98" s="158"/>
      <c r="B98" s="158"/>
      <c r="C98" s="158"/>
      <c r="D98" s="158"/>
      <c r="E98" s="158"/>
      <c r="F98" s="158"/>
      <c r="G98" s="158"/>
    </row>
    <row r="99" spans="1:7" hidden="1">
      <c r="A99" s="158"/>
      <c r="B99" s="158"/>
      <c r="C99" s="158"/>
      <c r="D99" s="158"/>
      <c r="E99" s="158"/>
      <c r="F99" s="158"/>
      <c r="G99" s="158"/>
    </row>
    <row r="100" spans="1:7" hidden="1">
      <c r="A100" s="158"/>
      <c r="B100" s="158"/>
      <c r="C100" s="158"/>
      <c r="D100" s="158"/>
      <c r="E100" s="158"/>
      <c r="F100" s="158"/>
      <c r="G100" s="158"/>
    </row>
    <row r="101" spans="1:7" hidden="1">
      <c r="A101" s="158"/>
      <c r="B101" s="158"/>
      <c r="C101" s="158"/>
      <c r="D101" s="158"/>
      <c r="E101" s="158"/>
      <c r="F101" s="158"/>
      <c r="G101" s="158"/>
    </row>
    <row r="102" spans="1:7" hidden="1">
      <c r="B102" s="154" t="s">
        <v>1443</v>
      </c>
    </row>
    <row r="103" spans="1:7" hidden="1">
      <c r="B103" s="158" t="s">
        <v>1456</v>
      </c>
      <c r="C103" s="158"/>
      <c r="D103" s="158"/>
      <c r="E103" s="158"/>
      <c r="F103" s="158"/>
      <c r="G103" s="158"/>
    </row>
    <row r="104" spans="1:7" hidden="1">
      <c r="A104" s="158"/>
      <c r="B104" s="158"/>
      <c r="C104" s="158"/>
      <c r="D104" s="158"/>
      <c r="E104" s="158"/>
      <c r="F104" s="158"/>
      <c r="G104" s="158"/>
    </row>
    <row r="105" spans="1:7" hidden="1">
      <c r="A105" s="158"/>
      <c r="B105" s="158"/>
      <c r="C105" s="158"/>
      <c r="D105" s="158"/>
      <c r="E105" s="158"/>
      <c r="F105" s="158"/>
      <c r="G105" s="158"/>
    </row>
    <row r="106" spans="1:7" ht="27.75" hidden="1" thickBot="1"/>
    <row r="107" spans="1:7" ht="28.5" hidden="1" thickTop="1" thickBot="1">
      <c r="A107" s="162" t="s">
        <v>1390</v>
      </c>
      <c r="B107" s="323" t="s">
        <v>1444</v>
      </c>
      <c r="C107" s="324"/>
      <c r="D107" s="325"/>
      <c r="E107" s="162"/>
      <c r="F107" s="162" t="s">
        <v>1423</v>
      </c>
      <c r="G107" s="162" t="s">
        <v>1347</v>
      </c>
    </row>
    <row r="108" spans="1:7" ht="27.75" hidden="1" thickTop="1">
      <c r="A108" s="163">
        <v>1</v>
      </c>
      <c r="B108" s="329" t="s">
        <v>1457</v>
      </c>
      <c r="C108" s="330"/>
      <c r="D108" s="331"/>
      <c r="E108" s="178"/>
      <c r="F108" s="164">
        <f>120*337.64</f>
        <v>40516.799999999996</v>
      </c>
      <c r="G108" s="165"/>
    </row>
    <row r="109" spans="1:7" hidden="1">
      <c r="A109" s="166"/>
      <c r="B109" s="332"/>
      <c r="C109" s="333"/>
      <c r="D109" s="334"/>
      <c r="E109" s="179"/>
      <c r="F109" s="167"/>
      <c r="G109" s="168"/>
    </row>
    <row r="110" spans="1:7" hidden="1">
      <c r="A110" s="166"/>
      <c r="B110" s="332"/>
      <c r="C110" s="333"/>
      <c r="D110" s="334"/>
      <c r="E110" s="179"/>
      <c r="F110" s="167"/>
      <c r="G110" s="168"/>
    </row>
    <row r="111" spans="1:7" hidden="1">
      <c r="A111" s="166"/>
      <c r="B111" s="332"/>
      <c r="C111" s="333"/>
      <c r="D111" s="334"/>
      <c r="E111" s="179"/>
      <c r="F111" s="167"/>
      <c r="G111" s="168"/>
    </row>
    <row r="112" spans="1:7" hidden="1">
      <c r="A112" s="166"/>
      <c r="B112" s="332"/>
      <c r="C112" s="333"/>
      <c r="D112" s="334"/>
      <c r="E112" s="179"/>
      <c r="F112" s="167"/>
      <c r="G112" s="168"/>
    </row>
    <row r="113" spans="1:7" hidden="1">
      <c r="A113" s="166"/>
      <c r="B113" s="332"/>
      <c r="C113" s="333"/>
      <c r="D113" s="334"/>
      <c r="E113" s="179"/>
      <c r="F113" s="167"/>
      <c r="G113" s="168"/>
    </row>
    <row r="114" spans="1:7" hidden="1">
      <c r="A114" s="166"/>
      <c r="B114" s="332"/>
      <c r="C114" s="333"/>
      <c r="D114" s="334"/>
      <c r="E114" s="179"/>
      <c r="F114" s="167"/>
      <c r="G114" s="168"/>
    </row>
    <row r="115" spans="1:7" hidden="1">
      <c r="A115" s="166"/>
      <c r="B115" s="332"/>
      <c r="C115" s="333"/>
      <c r="D115" s="334"/>
      <c r="E115" s="179"/>
      <c r="F115" s="167"/>
      <c r="G115" s="168"/>
    </row>
    <row r="116" spans="1:7" hidden="1">
      <c r="A116" s="166"/>
      <c r="B116" s="332"/>
      <c r="C116" s="333"/>
      <c r="D116" s="334"/>
      <c r="E116" s="179"/>
      <c r="F116" s="167"/>
      <c r="G116" s="168"/>
    </row>
    <row r="117" spans="1:7" ht="27.75" hidden="1" thickBot="1">
      <c r="A117" s="169"/>
      <c r="B117" s="335"/>
      <c r="C117" s="336"/>
      <c r="D117" s="337"/>
      <c r="E117" s="180"/>
      <c r="F117" s="170"/>
      <c r="G117" s="169"/>
    </row>
    <row r="118" spans="1:7" ht="27.75" hidden="1" thickTop="1">
      <c r="E118" s="171" t="s">
        <v>1445</v>
      </c>
      <c r="F118" s="172">
        <f>SUM(F108:F117)</f>
        <v>40516.799999999996</v>
      </c>
      <c r="G118" s="173"/>
    </row>
    <row r="119" spans="1:7" hidden="1">
      <c r="E119" s="171" t="s">
        <v>1446</v>
      </c>
      <c r="F119" s="174">
        <f>F118*7%</f>
        <v>2836.1759999999999</v>
      </c>
      <c r="G119" s="175"/>
    </row>
    <row r="120" spans="1:7" ht="27.75" hidden="1" thickBot="1">
      <c r="D120" s="157"/>
      <c r="E120" s="171" t="s">
        <v>1447</v>
      </c>
      <c r="F120" s="176">
        <f>F118+F119</f>
        <v>43352.975999999995</v>
      </c>
      <c r="G120" s="177"/>
    </row>
  </sheetData>
  <mergeCells count="39">
    <mergeCell ref="B115:D115"/>
    <mergeCell ref="B116:D116"/>
    <mergeCell ref="B117:D117"/>
    <mergeCell ref="B109:D109"/>
    <mergeCell ref="B110:D110"/>
    <mergeCell ref="B111:D111"/>
    <mergeCell ref="B112:D112"/>
    <mergeCell ref="B113:D113"/>
    <mergeCell ref="B114:D114"/>
    <mergeCell ref="B108:D108"/>
    <mergeCell ref="B66:D66"/>
    <mergeCell ref="B67:D67"/>
    <mergeCell ref="B68:D68"/>
    <mergeCell ref="B69:D69"/>
    <mergeCell ref="B70:D70"/>
    <mergeCell ref="B71:D71"/>
    <mergeCell ref="B72:D72"/>
    <mergeCell ref="B73:D73"/>
    <mergeCell ref="A86:G86"/>
    <mergeCell ref="A87:G87"/>
    <mergeCell ref="B107:D107"/>
    <mergeCell ref="B65:D65"/>
    <mergeCell ref="B23:E23"/>
    <mergeCell ref="B24:E24"/>
    <mergeCell ref="B25:E25"/>
    <mergeCell ref="B26:E26"/>
    <mergeCell ref="B27:E27"/>
    <mergeCell ref="B28:E28"/>
    <mergeCell ref="B29:E29"/>
    <mergeCell ref="A42:G42"/>
    <mergeCell ref="A43:G43"/>
    <mergeCell ref="B63:D63"/>
    <mergeCell ref="B64:D64"/>
    <mergeCell ref="B22:E22"/>
    <mergeCell ref="A1:G1"/>
    <mergeCell ref="A2:G2"/>
    <mergeCell ref="B19:E19"/>
    <mergeCell ref="B20:E20"/>
    <mergeCell ref="B21:E21"/>
  </mergeCells>
  <pageMargins left="0.7" right="0.7" top="0.75" bottom="0.75" header="0.3" footer="0.3"/>
  <pageSetup paperSize="9" scale="67" fitToHeight="0" orientation="portrait" verticalDpi="597" r:id="rId1"/>
  <headerFooter>
    <oddHeader>&amp;Rแผ่นที่ &amp;P/&amp;N</oddHeader>
  </headerFooter>
  <rowBreaks count="2" manualBreakCount="2">
    <brk id="41" max="16383" man="1"/>
    <brk id="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4"/>
  <sheetViews>
    <sheetView topLeftCell="B19" workbookViewId="0">
      <selection activeCell="H23" sqref="H23"/>
    </sheetView>
  </sheetViews>
  <sheetFormatPr defaultRowHeight="23.25"/>
  <cols>
    <col min="3" max="3" width="11.85546875" customWidth="1"/>
    <col min="4" max="4" width="11" customWidth="1"/>
    <col min="5" max="5" width="11.42578125" customWidth="1"/>
    <col min="7" max="7" width="9.42578125" bestFit="1" customWidth="1"/>
    <col min="11" max="11" width="13.28515625" customWidth="1"/>
    <col min="12" max="12" width="12.7109375" customWidth="1"/>
    <col min="22" max="22" width="10.28515625" bestFit="1" customWidth="1"/>
    <col min="24" max="24" width="15.28515625" customWidth="1"/>
  </cols>
  <sheetData>
    <row r="1" spans="1:22">
      <c r="A1" s="7">
        <v>9</v>
      </c>
      <c r="B1" s="8" t="s">
        <v>953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2">
      <c r="A2" s="6"/>
      <c r="B2" s="28">
        <v>9</v>
      </c>
      <c r="C2" s="6" t="s">
        <v>954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2">
      <c r="A3" s="6"/>
      <c r="B3" s="6"/>
      <c r="C3" s="6" t="s">
        <v>955</v>
      </c>
      <c r="D3" s="6"/>
      <c r="E3" s="6"/>
      <c r="F3" s="6"/>
      <c r="G3" s="6"/>
      <c r="H3" s="6"/>
      <c r="I3" s="6" t="s">
        <v>859</v>
      </c>
      <c r="J3" s="6"/>
      <c r="K3" s="22" t="str">
        <f>+'ราคาระยอง 11-68'!F10</f>
        <v>2,308.41</v>
      </c>
      <c r="L3" s="6" t="s">
        <v>865</v>
      </c>
      <c r="M3" s="6"/>
      <c r="N3" s="6"/>
      <c r="O3" s="6"/>
      <c r="P3" s="6"/>
      <c r="Q3" s="6"/>
      <c r="R3" s="6"/>
      <c r="S3" s="6"/>
    </row>
    <row r="4" spans="1:22">
      <c r="A4" s="6"/>
      <c r="B4" s="6"/>
      <c r="C4" s="6" t="s">
        <v>956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 t="s">
        <v>957</v>
      </c>
      <c r="Q4" s="6"/>
      <c r="R4" s="106">
        <f>+สรุป!N50</f>
        <v>128.59200000000001</v>
      </c>
      <c r="S4" s="6" t="s">
        <v>18</v>
      </c>
    </row>
    <row r="5" spans="1:22">
      <c r="A5" s="6"/>
      <c r="B5" s="6"/>
      <c r="C5" s="6" t="s">
        <v>959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960</v>
      </c>
      <c r="Q5" s="6"/>
      <c r="R5" s="106">
        <f>+สรุป!O50</f>
        <v>403.65000000000003</v>
      </c>
      <c r="S5" s="6" t="s">
        <v>16</v>
      </c>
    </row>
    <row r="6" spans="1:22">
      <c r="A6" s="6"/>
      <c r="B6" s="6"/>
      <c r="C6" s="6"/>
      <c r="D6" s="6" t="s">
        <v>961</v>
      </c>
      <c r="E6" s="6"/>
      <c r="F6" s="6"/>
      <c r="G6" s="6"/>
      <c r="H6" s="6"/>
      <c r="I6" s="6" t="s">
        <v>859</v>
      </c>
      <c r="J6" s="6" t="s">
        <v>962</v>
      </c>
      <c r="K6" s="6"/>
      <c r="L6" s="6"/>
      <c r="M6" s="6"/>
      <c r="N6" s="6"/>
      <c r="O6" s="6"/>
      <c r="P6" s="6" t="s">
        <v>963</v>
      </c>
      <c r="Q6" s="6"/>
      <c r="R6" s="30">
        <v>139</v>
      </c>
      <c r="S6" s="6" t="s">
        <v>964</v>
      </c>
    </row>
    <row r="7" spans="1:22">
      <c r="A7" s="6"/>
      <c r="B7" s="6"/>
      <c r="C7" s="6"/>
      <c r="D7" s="6"/>
      <c r="E7" s="6"/>
      <c r="F7" s="6"/>
      <c r="G7" s="6"/>
      <c r="H7" s="6"/>
      <c r="I7" s="6" t="s">
        <v>859</v>
      </c>
      <c r="J7" s="6"/>
      <c r="K7" s="22">
        <f>+R5*R6</f>
        <v>56107.350000000006</v>
      </c>
      <c r="L7" s="6" t="s">
        <v>964</v>
      </c>
      <c r="M7" s="6"/>
      <c r="N7" s="6"/>
      <c r="O7" s="6"/>
      <c r="P7" s="6"/>
      <c r="Q7" s="6"/>
      <c r="R7" s="6"/>
      <c r="S7" s="6"/>
      <c r="T7" s="6"/>
      <c r="V7" s="6" t="s">
        <v>1346</v>
      </c>
    </row>
    <row r="8" spans="1:22">
      <c r="A8" s="6"/>
      <c r="B8" s="6"/>
      <c r="C8" s="6" t="s">
        <v>1345</v>
      </c>
      <c r="D8" s="6"/>
      <c r="E8" s="6"/>
      <c r="F8" s="6"/>
      <c r="G8" s="6"/>
      <c r="H8" s="6"/>
      <c r="I8" s="6" t="s">
        <v>859</v>
      </c>
      <c r="J8" s="6"/>
      <c r="K8" s="27">
        <f>+V8</f>
        <v>15842.308999999999</v>
      </c>
      <c r="L8" s="6" t="s">
        <v>865</v>
      </c>
      <c r="M8" s="6"/>
      <c r="N8" s="6"/>
      <c r="O8" s="6"/>
      <c r="P8" s="6" t="s">
        <v>1343</v>
      </c>
      <c r="Q8" s="6"/>
      <c r="R8" s="6" t="str">
        <f>+'ราคาระยอง 11-68'!F188</f>
        <v>448.60</v>
      </c>
      <c r="S8" s="6" t="s">
        <v>1350</v>
      </c>
      <c r="T8" s="107"/>
      <c r="V8" s="108">
        <f>+R8*T11</f>
        <v>15842.308999999999</v>
      </c>
    </row>
    <row r="9" spans="1:22">
      <c r="A9" s="6"/>
      <c r="B9" s="6"/>
      <c r="C9" s="6" t="s">
        <v>967</v>
      </c>
      <c r="D9" s="6"/>
      <c r="E9" s="6"/>
      <c r="F9" s="6"/>
      <c r="G9" s="6"/>
      <c r="H9" s="6"/>
      <c r="I9" s="6" t="s">
        <v>859</v>
      </c>
      <c r="J9" s="6"/>
      <c r="K9" s="27">
        <f>+V9</f>
        <v>17822.421050000001</v>
      </c>
      <c r="L9" s="6" t="s">
        <v>865</v>
      </c>
      <c r="M9" s="6"/>
      <c r="N9" s="6"/>
      <c r="O9" s="6"/>
      <c r="P9" s="6" t="s">
        <v>1344</v>
      </c>
      <c r="Q9" s="6"/>
      <c r="R9" s="6" t="str">
        <f>+'ราคาระยอง 11-68'!F192</f>
        <v>504.67</v>
      </c>
      <c r="S9" s="6" t="s">
        <v>1350</v>
      </c>
      <c r="T9" s="107"/>
      <c r="V9" s="108">
        <f>+R9*T11</f>
        <v>17822.421050000001</v>
      </c>
    </row>
    <row r="10" spans="1:22">
      <c r="A10" s="6"/>
      <c r="B10" s="6"/>
      <c r="C10" s="6" t="s">
        <v>968</v>
      </c>
      <c r="D10" s="6"/>
      <c r="E10" s="6"/>
      <c r="F10" s="6"/>
      <c r="G10" s="6"/>
      <c r="H10" s="6"/>
      <c r="I10" s="6" t="s">
        <v>859</v>
      </c>
      <c r="J10" s="6"/>
      <c r="K10" s="22">
        <f>AVERAGE(K8:K9)</f>
        <v>16832.365024999999</v>
      </c>
      <c r="L10" s="6" t="s">
        <v>865</v>
      </c>
      <c r="M10" s="6"/>
      <c r="N10" s="6"/>
      <c r="O10" s="6"/>
      <c r="P10" s="6"/>
      <c r="Q10" s="6"/>
      <c r="R10" s="6"/>
      <c r="S10" s="6"/>
    </row>
    <row r="11" spans="1:22">
      <c r="A11" s="6"/>
      <c r="B11" s="6"/>
      <c r="C11" s="6"/>
      <c r="D11" s="6" t="s">
        <v>969</v>
      </c>
      <c r="E11" s="6"/>
      <c r="F11" s="6"/>
      <c r="G11" s="6"/>
      <c r="H11" s="6"/>
      <c r="I11" s="6" t="s">
        <v>859</v>
      </c>
      <c r="J11" s="6" t="s">
        <v>970</v>
      </c>
      <c r="K11" s="6"/>
      <c r="L11" s="6"/>
      <c r="M11" s="6"/>
      <c r="N11" s="6"/>
      <c r="O11" s="6"/>
      <c r="P11" s="6" t="s">
        <v>1347</v>
      </c>
      <c r="Q11" s="6"/>
      <c r="R11" s="6" t="s">
        <v>1348</v>
      </c>
      <c r="S11" s="6"/>
      <c r="T11">
        <v>35.314999999999998</v>
      </c>
      <c r="U11" t="s">
        <v>1349</v>
      </c>
    </row>
    <row r="12" spans="1:22">
      <c r="A12" s="6"/>
      <c r="B12" s="6"/>
      <c r="C12" s="6"/>
      <c r="D12" s="6"/>
      <c r="E12" s="6"/>
      <c r="F12" s="6"/>
      <c r="G12" s="6"/>
      <c r="H12" s="6"/>
      <c r="I12" s="6" t="s">
        <v>859</v>
      </c>
      <c r="J12" s="6"/>
      <c r="K12" s="22">
        <f>+(R5*0.06/2)*K10</f>
        <v>203831.52427023751</v>
      </c>
      <c r="L12" s="6" t="s">
        <v>964</v>
      </c>
      <c r="M12" s="6"/>
      <c r="N12" s="6"/>
      <c r="O12" s="6"/>
      <c r="P12" s="6"/>
      <c r="Q12" s="6"/>
      <c r="R12" s="6"/>
      <c r="S12" s="6"/>
    </row>
    <row r="13" spans="1:22">
      <c r="A13" s="6"/>
      <c r="B13" s="6"/>
      <c r="C13" s="6"/>
      <c r="D13" s="6" t="s">
        <v>971</v>
      </c>
      <c r="E13" s="6"/>
      <c r="F13" s="6"/>
      <c r="G13" s="6"/>
      <c r="H13" s="6"/>
      <c r="I13" s="6" t="s">
        <v>859</v>
      </c>
      <c r="J13" s="6" t="s">
        <v>972</v>
      </c>
      <c r="K13" s="6"/>
      <c r="L13" s="6"/>
      <c r="M13" s="6"/>
      <c r="N13" s="6"/>
      <c r="O13" s="6"/>
      <c r="P13" s="6"/>
      <c r="Q13" s="6"/>
      <c r="R13" s="6"/>
      <c r="S13" s="6"/>
    </row>
    <row r="14" spans="1:22">
      <c r="A14" s="6"/>
      <c r="B14" s="6"/>
      <c r="C14" s="6"/>
      <c r="D14" s="6"/>
      <c r="E14" s="6"/>
      <c r="F14" s="6"/>
      <c r="G14" s="6"/>
      <c r="H14" s="6"/>
      <c r="I14" s="6" t="s">
        <v>859</v>
      </c>
      <c r="J14" s="6"/>
      <c r="K14" s="22">
        <f>+(+K7+K12)/R4</f>
        <v>2021.4233721400826</v>
      </c>
      <c r="L14" s="6" t="s">
        <v>865</v>
      </c>
      <c r="M14" s="6"/>
      <c r="N14" s="6"/>
      <c r="O14" s="6"/>
      <c r="P14" s="6"/>
      <c r="Q14" s="6"/>
      <c r="R14" s="6"/>
      <c r="S14" s="6"/>
    </row>
    <row r="15" spans="1:22">
      <c r="A15" s="6"/>
      <c r="B15" s="6"/>
      <c r="C15" s="6"/>
      <c r="D15" s="6" t="s">
        <v>973</v>
      </c>
      <c r="E15" s="6"/>
      <c r="F15" s="6"/>
      <c r="G15" s="6"/>
      <c r="H15" s="6"/>
      <c r="I15" s="6" t="s">
        <v>859</v>
      </c>
      <c r="J15" s="6"/>
      <c r="K15" s="22">
        <f>+K3+K14</f>
        <v>4329.8333721400822</v>
      </c>
      <c r="L15" s="6" t="s">
        <v>865</v>
      </c>
      <c r="M15" s="6"/>
      <c r="N15" s="6"/>
      <c r="O15" s="6"/>
      <c r="P15" s="6"/>
      <c r="Q15" s="6"/>
      <c r="R15" s="6"/>
      <c r="S15" s="6"/>
    </row>
    <row r="16" spans="1:22">
      <c r="A16" s="6"/>
      <c r="B16" s="6"/>
      <c r="C16" s="6"/>
      <c r="D16" s="6"/>
      <c r="E16" s="6"/>
      <c r="F16" s="6"/>
      <c r="G16" s="6"/>
      <c r="H16" s="6"/>
      <c r="I16" s="6"/>
      <c r="J16" s="6"/>
      <c r="K16" s="22"/>
      <c r="L16" s="6"/>
      <c r="M16" s="6"/>
      <c r="N16" s="6"/>
      <c r="O16" s="6"/>
      <c r="P16" s="6"/>
      <c r="Q16" s="6"/>
      <c r="R16" s="6"/>
      <c r="S16" s="6"/>
    </row>
    <row r="17" spans="1:19">
      <c r="A17" s="6"/>
      <c r="B17" s="6"/>
      <c r="C17" s="6"/>
      <c r="D17" s="6"/>
      <c r="E17" s="6"/>
      <c r="F17" s="6"/>
      <c r="G17" s="6"/>
      <c r="H17" s="6"/>
      <c r="I17" s="6"/>
      <c r="J17" s="6"/>
      <c r="K17" s="22"/>
      <c r="L17" s="6"/>
      <c r="M17" s="6"/>
      <c r="N17" s="6"/>
      <c r="O17" s="6"/>
      <c r="P17" s="6"/>
      <c r="Q17" s="6"/>
      <c r="R17" s="6"/>
      <c r="S17" s="6"/>
    </row>
    <row r="18" spans="1:19">
      <c r="B18" s="9">
        <v>9.1999999999999993</v>
      </c>
      <c r="C18" s="6" t="s">
        <v>32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9">
      <c r="B19" s="6"/>
      <c r="C19" s="6" t="s">
        <v>975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9">
      <c r="B20" s="6"/>
      <c r="C20" s="6" t="s">
        <v>976</v>
      </c>
      <c r="D20" s="6"/>
      <c r="E20" s="6"/>
      <c r="F20" s="6"/>
      <c r="G20" s="6"/>
      <c r="H20" s="6"/>
      <c r="I20" s="6" t="s">
        <v>859</v>
      </c>
      <c r="J20" s="6"/>
      <c r="K20" s="22">
        <f>+(G21+G22+G23+G24+G25+G26)/6</f>
        <v>20.88618</v>
      </c>
      <c r="L20" s="6" t="s">
        <v>977</v>
      </c>
      <c r="M20" s="6"/>
      <c r="N20" s="6"/>
      <c r="O20" s="31">
        <v>1</v>
      </c>
    </row>
    <row r="21" spans="1:19">
      <c r="B21" s="6"/>
      <c r="C21" s="6" t="s">
        <v>1335</v>
      </c>
      <c r="D21" s="6"/>
      <c r="E21" s="6" t="str">
        <f>+'ราคาระยอง 11-68'!F29</f>
        <v>21,890.88</v>
      </c>
      <c r="F21" s="6" t="s">
        <v>1341</v>
      </c>
      <c r="G21" s="105">
        <f>+E21/1000</f>
        <v>21.890880000000003</v>
      </c>
      <c r="H21" s="6" t="s">
        <v>1342</v>
      </c>
      <c r="I21" s="6"/>
      <c r="J21" s="6"/>
      <c r="K21" s="22"/>
      <c r="L21" s="6"/>
      <c r="M21" s="6"/>
      <c r="N21" s="6"/>
      <c r="O21" s="31"/>
    </row>
    <row r="22" spans="1:19">
      <c r="B22" s="6"/>
      <c r="C22" s="6" t="s">
        <v>1336</v>
      </c>
      <c r="D22" s="6"/>
      <c r="E22" s="6" t="str">
        <f>+'ราคาระยอง 11-68'!F30</f>
        <v>21,290.41</v>
      </c>
      <c r="F22" s="6" t="s">
        <v>1341</v>
      </c>
      <c r="G22" s="105">
        <f t="shared" ref="G22:G26" si="0">+E22/1000</f>
        <v>21.290410000000001</v>
      </c>
      <c r="H22" s="6" t="s">
        <v>1342</v>
      </c>
      <c r="I22" s="6"/>
      <c r="J22" s="6"/>
      <c r="K22" s="22"/>
      <c r="L22" s="6"/>
      <c r="M22" s="6"/>
      <c r="N22" s="6"/>
      <c r="O22" s="31"/>
    </row>
    <row r="23" spans="1:19">
      <c r="B23" s="6"/>
      <c r="C23" s="6" t="s">
        <v>1337</v>
      </c>
      <c r="D23" s="6"/>
      <c r="E23" s="6" t="str">
        <f>+'ราคาระยอง 11-68'!F31</f>
        <v>20,662.83</v>
      </c>
      <c r="F23" s="6" t="s">
        <v>1341</v>
      </c>
      <c r="G23" s="105">
        <f t="shared" si="0"/>
        <v>20.662830000000003</v>
      </c>
      <c r="H23" s="6" t="s">
        <v>1342</v>
      </c>
      <c r="I23" s="6"/>
      <c r="J23" s="6"/>
      <c r="K23" s="22"/>
      <c r="L23" s="6"/>
      <c r="M23" s="6"/>
      <c r="N23" s="6"/>
      <c r="O23" s="31"/>
    </row>
    <row r="24" spans="1:19">
      <c r="B24" s="6"/>
      <c r="C24" s="6" t="s">
        <v>1338</v>
      </c>
      <c r="D24" s="6"/>
      <c r="E24" s="6" t="str">
        <f>+'ราคาระยอง 11-68'!F32</f>
        <v>20,307.70</v>
      </c>
      <c r="F24" s="6" t="s">
        <v>1341</v>
      </c>
      <c r="G24" s="105">
        <f t="shared" si="0"/>
        <v>20.307700000000001</v>
      </c>
      <c r="H24" s="6" t="s">
        <v>1342</v>
      </c>
      <c r="I24" s="6"/>
      <c r="J24" s="6"/>
      <c r="K24" s="22"/>
      <c r="L24" s="6"/>
      <c r="M24" s="6"/>
      <c r="N24" s="6"/>
      <c r="O24" s="31"/>
    </row>
    <row r="25" spans="1:19">
      <c r="B25" s="6"/>
      <c r="C25" s="6" t="s">
        <v>1339</v>
      </c>
      <c r="D25" s="6"/>
      <c r="E25" s="6" t="str">
        <f>+'ราคาระยอง 11-68'!F33</f>
        <v>20,502.27</v>
      </c>
      <c r="F25" s="6" t="s">
        <v>1341</v>
      </c>
      <c r="G25" s="105">
        <f t="shared" si="0"/>
        <v>20.502269999999999</v>
      </c>
      <c r="H25" s="6" t="s">
        <v>1342</v>
      </c>
      <c r="I25" s="6"/>
      <c r="J25" s="6"/>
      <c r="K25" s="22"/>
      <c r="L25" s="6"/>
      <c r="M25" s="6"/>
      <c r="N25" s="6"/>
      <c r="O25" s="31"/>
    </row>
    <row r="26" spans="1:19">
      <c r="B26" s="6"/>
      <c r="C26" s="6" t="s">
        <v>1340</v>
      </c>
      <c r="D26" s="6"/>
      <c r="E26" s="6" t="str">
        <f>+'ราคาระยอง 11-68'!F34</f>
        <v>20,662.99</v>
      </c>
      <c r="F26" s="6" t="s">
        <v>1341</v>
      </c>
      <c r="G26" s="105">
        <f t="shared" si="0"/>
        <v>20.662990000000001</v>
      </c>
      <c r="H26" s="6" t="s">
        <v>1342</v>
      </c>
      <c r="I26" s="6"/>
      <c r="J26" s="6"/>
      <c r="K26" s="22"/>
      <c r="L26" s="6"/>
      <c r="M26" s="6"/>
      <c r="N26" s="6"/>
      <c r="O26" s="31"/>
    </row>
    <row r="27" spans="1:19">
      <c r="B27" s="6"/>
      <c r="C27" s="6" t="s">
        <v>978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9">
      <c r="B28" s="6"/>
      <c r="C28" s="6"/>
      <c r="D28" s="6" t="s">
        <v>979</v>
      </c>
      <c r="E28" s="6"/>
      <c r="F28" s="6"/>
      <c r="G28" s="6"/>
      <c r="H28" s="6"/>
      <c r="I28" s="6" t="s">
        <v>859</v>
      </c>
      <c r="J28" s="6"/>
      <c r="K28" s="22">
        <f>+K20*0.1</f>
        <v>2.0886179999999999</v>
      </c>
      <c r="L28" s="6" t="s">
        <v>977</v>
      </c>
      <c r="M28" s="6"/>
      <c r="N28" s="6"/>
      <c r="O28" s="31">
        <v>2</v>
      </c>
    </row>
    <row r="29" spans="1:19">
      <c r="B29" s="6"/>
      <c r="C29" s="6" t="s">
        <v>980</v>
      </c>
      <c r="D29" s="6"/>
      <c r="E29" s="6"/>
      <c r="F29" s="6"/>
      <c r="G29" s="6"/>
      <c r="H29" s="6"/>
      <c r="I29" s="6"/>
      <c r="J29" s="6"/>
      <c r="K29" s="22">
        <f>+F34</f>
        <v>3.55</v>
      </c>
      <c r="L29" s="6" t="s">
        <v>977</v>
      </c>
      <c r="M29" s="6"/>
      <c r="N29" s="6"/>
      <c r="O29" s="31">
        <v>3</v>
      </c>
    </row>
    <row r="30" spans="1:19">
      <c r="B30" s="6"/>
      <c r="C30" s="6"/>
      <c r="D30" s="6" t="s">
        <v>981</v>
      </c>
      <c r="E30" s="6"/>
      <c r="F30" s="6"/>
      <c r="G30" s="6"/>
      <c r="H30" s="6"/>
      <c r="I30" s="6"/>
      <c r="J30" s="6"/>
      <c r="K30" s="22">
        <f>+ROUNDDOWN(K20+K28+K29,2)</f>
        <v>26.52</v>
      </c>
      <c r="L30" s="6" t="s">
        <v>977</v>
      </c>
      <c r="M30" s="6"/>
      <c r="N30" s="6"/>
      <c r="O30" s="6"/>
    </row>
    <row r="31" spans="1:19">
      <c r="B31" s="8" t="s">
        <v>884</v>
      </c>
      <c r="C31" s="6" t="s">
        <v>982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9">
      <c r="B32" s="6"/>
      <c r="C32" s="6" t="s">
        <v>983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2:21">
      <c r="B33" s="6"/>
      <c r="C33" s="6" t="s">
        <v>984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2:21">
      <c r="B34" s="6"/>
      <c r="C34" s="6" t="s">
        <v>985</v>
      </c>
      <c r="D34" s="6"/>
      <c r="E34" s="6"/>
      <c r="F34" s="32">
        <v>3.55</v>
      </c>
      <c r="G34" s="6" t="s">
        <v>977</v>
      </c>
      <c r="H34" s="6"/>
      <c r="I34" s="6"/>
      <c r="J34" s="6"/>
      <c r="K34" s="6"/>
      <c r="L34" s="6"/>
      <c r="M34" s="6"/>
      <c r="N34" s="6"/>
      <c r="O34" s="6"/>
    </row>
    <row r="37" spans="2:21">
      <c r="C37" s="9"/>
      <c r="D37" s="6" t="s">
        <v>1216</v>
      </c>
      <c r="E37" s="6"/>
      <c r="F37" s="6"/>
      <c r="G37" s="6"/>
      <c r="H37" s="6"/>
      <c r="I37" s="6"/>
      <c r="J37" s="6"/>
      <c r="K37" s="6"/>
      <c r="L37" s="50">
        <v>9</v>
      </c>
      <c r="M37" s="6" t="s">
        <v>43</v>
      </c>
      <c r="N37" s="6"/>
      <c r="O37" s="6"/>
      <c r="P37" s="6"/>
      <c r="Q37" s="6" t="s">
        <v>1351</v>
      </c>
      <c r="R37" s="6"/>
      <c r="S37" s="6"/>
      <c r="T37" s="6"/>
      <c r="U37" s="6" t="s">
        <v>1077</v>
      </c>
    </row>
    <row r="38" spans="2:21">
      <c r="C38" s="6"/>
      <c r="D38" s="6" t="s">
        <v>1205</v>
      </c>
      <c r="E38" s="6"/>
      <c r="F38" s="6"/>
      <c r="G38" s="6"/>
      <c r="H38" s="6"/>
      <c r="I38" s="6"/>
      <c r="J38" s="6" t="s">
        <v>859</v>
      </c>
      <c r="K38" s="6"/>
      <c r="L38" s="22">
        <f>+L37*T38/21</f>
        <v>3648.6385714285716</v>
      </c>
      <c r="M38" s="6" t="s">
        <v>1206</v>
      </c>
      <c r="N38" s="6"/>
      <c r="O38" s="36">
        <v>1</v>
      </c>
      <c r="P38" s="6"/>
      <c r="Q38" s="6" t="s">
        <v>1352</v>
      </c>
      <c r="R38" s="6"/>
      <c r="S38" s="6" t="str">
        <f>+'ราคาระยอง 11-68'!F25</f>
        <v>8,439.25</v>
      </c>
      <c r="T38" s="6">
        <f>+S38+R41</f>
        <v>8513.49</v>
      </c>
      <c r="U38" s="6">
        <f>+T38/21</f>
        <v>405.40428571428572</v>
      </c>
    </row>
    <row r="39" spans="2:21">
      <c r="C39" s="6"/>
      <c r="D39" s="6" t="s">
        <v>1207</v>
      </c>
      <c r="E39" s="6"/>
      <c r="F39" s="6"/>
      <c r="G39" s="6"/>
      <c r="H39" s="6"/>
      <c r="I39" s="6"/>
      <c r="J39" s="6" t="s">
        <v>859</v>
      </c>
      <c r="K39" s="6"/>
      <c r="L39" s="22">
        <f>R39/21*L37</f>
        <v>462.85714285714289</v>
      </c>
      <c r="M39" s="6" t="s">
        <v>1206</v>
      </c>
      <c r="N39" s="6"/>
      <c r="O39" s="36">
        <v>2</v>
      </c>
      <c r="P39" s="6"/>
      <c r="Q39" s="6" t="s">
        <v>1208</v>
      </c>
      <c r="R39" s="51">
        <f>[4]บัญชีค่าแรงงาน!$D$30</f>
        <v>1080</v>
      </c>
    </row>
    <row r="40" spans="2:21">
      <c r="C40" s="6"/>
      <c r="D40" s="6" t="s">
        <v>1209</v>
      </c>
      <c r="E40" s="6"/>
      <c r="F40" s="6"/>
      <c r="G40" s="6"/>
      <c r="H40" s="6"/>
      <c r="I40" s="6"/>
      <c r="J40" s="6" t="s">
        <v>859</v>
      </c>
      <c r="K40" s="6"/>
      <c r="L40" s="22">
        <f>R40</f>
        <v>250</v>
      </c>
      <c r="M40" s="6" t="s">
        <v>1206</v>
      </c>
      <c r="N40" s="6"/>
      <c r="O40" s="36">
        <v>3</v>
      </c>
      <c r="P40" s="6"/>
      <c r="Q40" s="6" t="s">
        <v>1210</v>
      </c>
      <c r="R40" s="51">
        <f>[4]บัญชีค่าแรงงาน!$D$85</f>
        <v>250</v>
      </c>
    </row>
    <row r="41" spans="2:21">
      <c r="C41" s="6"/>
      <c r="D41" s="6"/>
      <c r="E41" s="6" t="s">
        <v>1211</v>
      </c>
      <c r="F41" s="6"/>
      <c r="G41" s="6"/>
      <c r="H41" s="6"/>
      <c r="I41" s="6"/>
      <c r="J41" s="6" t="s">
        <v>859</v>
      </c>
      <c r="K41" s="6"/>
      <c r="L41" s="18">
        <f>+ROUNDDOWN((L38+L39+L40)/L37,2)</f>
        <v>484.61</v>
      </c>
      <c r="M41" s="6" t="s">
        <v>1077</v>
      </c>
      <c r="N41" s="6"/>
      <c r="O41" s="6"/>
      <c r="P41" s="6"/>
      <c r="Q41" s="6" t="s">
        <v>1353</v>
      </c>
      <c r="R41" s="6">
        <v>74.239999999999995</v>
      </c>
    </row>
    <row r="42" spans="2:21">
      <c r="C42" s="6"/>
      <c r="D42" s="6"/>
      <c r="E42" s="6" t="s">
        <v>1212</v>
      </c>
      <c r="F42" s="6"/>
      <c r="G42" s="6"/>
      <c r="H42" s="6"/>
      <c r="I42" s="6"/>
      <c r="J42" s="6" t="s">
        <v>859</v>
      </c>
      <c r="K42" s="6"/>
      <c r="L42" s="18">
        <f>+ROUNDDOWN((L38+L39+L40),2)</f>
        <v>4361.49</v>
      </c>
      <c r="M42" s="6" t="s">
        <v>1206</v>
      </c>
      <c r="N42" s="6"/>
      <c r="O42" s="6"/>
      <c r="P42" s="6"/>
      <c r="Q42" s="6"/>
      <c r="R42" s="6"/>
    </row>
    <row r="44" spans="2:21">
      <c r="Q44" s="109" t="s">
        <v>1356</v>
      </c>
    </row>
    <row r="45" spans="2:21">
      <c r="D45" s="6" t="s">
        <v>1355</v>
      </c>
      <c r="E45" s="6"/>
      <c r="F45" s="6"/>
      <c r="G45" s="6"/>
      <c r="H45" s="6"/>
      <c r="I45" s="6"/>
      <c r="J45" s="6"/>
      <c r="K45" s="6"/>
      <c r="L45" s="50">
        <v>9</v>
      </c>
      <c r="M45" s="6" t="s">
        <v>43</v>
      </c>
      <c r="N45" s="6"/>
      <c r="O45" s="6"/>
      <c r="P45" s="6"/>
      <c r="Q45" s="6" t="s">
        <v>1351</v>
      </c>
      <c r="R45" s="6"/>
      <c r="S45" s="6"/>
      <c r="T45" s="6"/>
      <c r="U45" s="6" t="s">
        <v>1077</v>
      </c>
    </row>
    <row r="46" spans="2:21">
      <c r="D46" s="6" t="s">
        <v>1205</v>
      </c>
      <c r="E46" s="6"/>
      <c r="F46" s="6"/>
      <c r="G46" s="6"/>
      <c r="H46" s="6"/>
      <c r="I46" s="6"/>
      <c r="J46" s="6" t="s">
        <v>859</v>
      </c>
      <c r="K46" s="6"/>
      <c r="L46" s="22">
        <f>+L45*T46/21</f>
        <v>7570.0928571428567</v>
      </c>
      <c r="M46" s="6" t="s">
        <v>1206</v>
      </c>
      <c r="N46" s="6"/>
      <c r="O46" s="36">
        <v>1</v>
      </c>
      <c r="P46" s="6"/>
      <c r="Q46" s="6" t="s">
        <v>1352</v>
      </c>
      <c r="R46" s="6"/>
      <c r="S46" s="6" t="str">
        <f>+'ราคาระยอง 11-68'!F28</f>
        <v>17,663.55</v>
      </c>
      <c r="T46" s="6">
        <f>+S46+R49</f>
        <v>17663.55</v>
      </c>
      <c r="U46" s="6">
        <f>+T46/21</f>
        <v>841.12142857142851</v>
      </c>
    </row>
    <row r="47" spans="2:21">
      <c r="D47" s="6" t="s">
        <v>1207</v>
      </c>
      <c r="E47" s="6"/>
      <c r="F47" s="6"/>
      <c r="G47" s="6"/>
      <c r="H47" s="6"/>
      <c r="I47" s="6"/>
      <c r="J47" s="6" t="s">
        <v>859</v>
      </c>
      <c r="K47" s="6"/>
      <c r="L47" s="22">
        <f>R47/21*L45</f>
        <v>887.14285714285711</v>
      </c>
      <c r="M47" s="6" t="s">
        <v>1206</v>
      </c>
      <c r="N47" s="6"/>
      <c r="O47" s="36">
        <v>2</v>
      </c>
      <c r="P47" s="6"/>
      <c r="Q47" s="6" t="s">
        <v>1208</v>
      </c>
      <c r="R47" s="51">
        <v>2070</v>
      </c>
    </row>
    <row r="48" spans="2:21">
      <c r="D48" s="6" t="s">
        <v>1209</v>
      </c>
      <c r="E48" s="6"/>
      <c r="F48" s="6"/>
      <c r="G48" s="6"/>
      <c r="H48" s="6"/>
      <c r="I48" s="6"/>
      <c r="J48" s="6" t="s">
        <v>859</v>
      </c>
      <c r="K48" s="6"/>
      <c r="L48" s="22">
        <f>R48</f>
        <v>320</v>
      </c>
      <c r="M48" s="6" t="s">
        <v>1206</v>
      </c>
      <c r="N48" s="6"/>
      <c r="O48" s="36">
        <v>3</v>
      </c>
      <c r="P48" s="6"/>
      <c r="Q48" s="6" t="s">
        <v>1210</v>
      </c>
      <c r="R48" s="51">
        <v>320</v>
      </c>
    </row>
    <row r="49" spans="1:25">
      <c r="D49" s="6"/>
      <c r="E49" s="6" t="s">
        <v>1211</v>
      </c>
      <c r="F49" s="6"/>
      <c r="G49" s="6"/>
      <c r="H49" s="6"/>
      <c r="I49" s="6"/>
      <c r="J49" s="6" t="s">
        <v>859</v>
      </c>
      <c r="K49" s="6"/>
      <c r="L49" s="18">
        <f>+ROUNDDOWN((L46+L47+L48)/L45,2)</f>
        <v>975.24</v>
      </c>
      <c r="M49" s="6" t="s">
        <v>1077</v>
      </c>
      <c r="N49" s="6"/>
      <c r="O49" s="6"/>
      <c r="P49" s="6"/>
      <c r="Q49" s="6"/>
      <c r="R49" s="6"/>
    </row>
    <row r="50" spans="1:25">
      <c r="D50" s="6"/>
      <c r="E50" s="6" t="s">
        <v>1212</v>
      </c>
      <c r="F50" s="6"/>
      <c r="G50" s="6"/>
      <c r="H50" s="6"/>
      <c r="I50" s="6"/>
      <c r="J50" s="6" t="s">
        <v>859</v>
      </c>
      <c r="K50" s="6"/>
      <c r="L50" s="18">
        <f>+ROUNDDOWN((L46+L47+L48),2)</f>
        <v>8777.23</v>
      </c>
      <c r="M50" s="6" t="s">
        <v>1206</v>
      </c>
      <c r="N50" s="6"/>
      <c r="O50" s="6"/>
      <c r="P50" s="6"/>
      <c r="Q50" s="6"/>
      <c r="R50" s="6"/>
    </row>
    <row r="52" spans="1:25" ht="24">
      <c r="A52" s="53">
        <v>21</v>
      </c>
      <c r="B52" s="53" t="s">
        <v>42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24">
      <c r="A53" s="53"/>
      <c r="B53" s="54">
        <v>21.1</v>
      </c>
      <c r="C53" s="52" t="s">
        <v>1229</v>
      </c>
      <c r="D53" s="52"/>
      <c r="E53" s="52"/>
      <c r="F53" s="54" t="s">
        <v>1230</v>
      </c>
      <c r="G53" s="54"/>
      <c r="H53" s="55">
        <v>0.9</v>
      </c>
      <c r="I53" s="52" t="s">
        <v>43</v>
      </c>
      <c r="J53" s="54" t="s">
        <v>1231</v>
      </c>
      <c r="K53" s="55">
        <v>6</v>
      </c>
      <c r="L53" s="52" t="s">
        <v>43</v>
      </c>
      <c r="M53" s="52"/>
      <c r="N53" s="52"/>
      <c r="O53" s="52"/>
      <c r="P53" s="52"/>
      <c r="Q53" s="52"/>
      <c r="R53" s="52"/>
      <c r="S53" s="52"/>
      <c r="T53" s="52"/>
      <c r="U53" s="52" t="s">
        <v>1232</v>
      </c>
      <c r="V53" s="52"/>
      <c r="W53" s="52"/>
      <c r="X53" s="52"/>
      <c r="Y53" s="52"/>
    </row>
    <row r="54" spans="1:25" ht="24">
      <c r="A54" s="53"/>
      <c r="B54" s="52"/>
      <c r="C54" s="52" t="s">
        <v>1233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 t="s">
        <v>1234</v>
      </c>
      <c r="U54" s="52" t="s">
        <v>1232</v>
      </c>
      <c r="V54" s="52"/>
      <c r="W54" s="52"/>
      <c r="X54" s="52"/>
      <c r="Y54" s="52"/>
    </row>
    <row r="55" spans="1:25" ht="24">
      <c r="A55" s="53"/>
      <c r="B55" s="52"/>
      <c r="C55" s="52" t="s">
        <v>1235</v>
      </c>
      <c r="D55" s="52"/>
      <c r="E55" s="52" t="s">
        <v>1169</v>
      </c>
      <c r="F55" s="56">
        <v>1.2</v>
      </c>
      <c r="G55" s="52" t="s">
        <v>43</v>
      </c>
      <c r="H55" s="52"/>
      <c r="I55" s="52" t="s">
        <v>859</v>
      </c>
      <c r="J55" s="52"/>
      <c r="K55" s="55">
        <f>+((K53/F55+1)*H53)*R55</f>
        <v>19.494</v>
      </c>
      <c r="L55" s="52" t="s">
        <v>33</v>
      </c>
      <c r="M55" s="52"/>
      <c r="N55" s="52"/>
      <c r="O55" s="52" t="s">
        <v>1236</v>
      </c>
      <c r="P55" s="52"/>
      <c r="Q55" s="52"/>
      <c r="R55" s="54">
        <v>3.61</v>
      </c>
      <c r="S55" s="52" t="s">
        <v>1237</v>
      </c>
      <c r="T55" s="57">
        <f>+(2*PI()*0.05/2)</f>
        <v>0.15707963267948966</v>
      </c>
      <c r="U55" s="52" t="s">
        <v>1238</v>
      </c>
      <c r="V55" s="52"/>
      <c r="W55" s="52"/>
      <c r="X55" s="52"/>
      <c r="Y55" s="52"/>
    </row>
    <row r="56" spans="1:25" ht="24">
      <c r="A56" s="53"/>
      <c r="B56" s="52"/>
      <c r="C56" s="52" t="s">
        <v>1239</v>
      </c>
      <c r="D56" s="52"/>
      <c r="E56" s="52"/>
      <c r="F56" s="56">
        <f>+K53</f>
        <v>6</v>
      </c>
      <c r="G56" s="52" t="s">
        <v>43</v>
      </c>
      <c r="H56" s="52"/>
      <c r="I56" s="52" t="s">
        <v>859</v>
      </c>
      <c r="J56" s="52"/>
      <c r="K56" s="55">
        <f>(2*F56)*R56</f>
        <v>43.32</v>
      </c>
      <c r="L56" s="52" t="s">
        <v>33</v>
      </c>
      <c r="M56" s="52"/>
      <c r="N56" s="52"/>
      <c r="O56" s="52" t="s">
        <v>1236</v>
      </c>
      <c r="P56" s="52"/>
      <c r="Q56" s="52"/>
      <c r="R56" s="54">
        <v>3.61</v>
      </c>
      <c r="S56" s="52" t="s">
        <v>1237</v>
      </c>
      <c r="T56" s="57">
        <f>+(2*PI()*0.05/2)</f>
        <v>0.15707963267948966</v>
      </c>
      <c r="U56" s="52"/>
      <c r="V56" s="52"/>
      <c r="W56" s="52"/>
      <c r="X56" s="52"/>
      <c r="Y56" s="52"/>
    </row>
    <row r="57" spans="1:25" ht="24">
      <c r="A57" s="53"/>
      <c r="B57" s="52"/>
      <c r="C57" s="52" t="s">
        <v>1240</v>
      </c>
      <c r="D57" s="52"/>
      <c r="E57" s="52"/>
      <c r="F57" s="52"/>
      <c r="G57" s="52"/>
      <c r="H57" s="52"/>
      <c r="I57" s="52" t="s">
        <v>859</v>
      </c>
      <c r="J57" s="52"/>
      <c r="K57" s="55">
        <f>+(K53/F55+1)*(PI()*(0.15/2)^2)*R57</f>
        <v>6.8845057760307586</v>
      </c>
      <c r="L57" s="52" t="s">
        <v>33</v>
      </c>
      <c r="M57" s="52"/>
      <c r="N57" s="52"/>
      <c r="O57" s="52" t="s">
        <v>1241</v>
      </c>
      <c r="P57" s="52"/>
      <c r="Q57" s="52"/>
      <c r="R57" s="56">
        <f>187/(1.2*2.4)</f>
        <v>64.930555555555557</v>
      </c>
      <c r="S57" s="52" t="s">
        <v>1242</v>
      </c>
      <c r="T57" s="57">
        <f>+((PI()*(0.15/2)^2))</f>
        <v>1.7671458676442587E-2</v>
      </c>
      <c r="U57" s="52"/>
      <c r="V57" s="52"/>
      <c r="W57" s="52"/>
      <c r="X57" s="52"/>
      <c r="Y57" s="52"/>
    </row>
    <row r="58" spans="1:25" ht="24">
      <c r="A58" s="53"/>
      <c r="B58" s="52"/>
      <c r="C58" s="52"/>
      <c r="D58" s="52" t="s">
        <v>1243</v>
      </c>
      <c r="E58" s="52"/>
      <c r="F58" s="56"/>
      <c r="G58" s="56"/>
      <c r="H58" s="52"/>
      <c r="I58" s="52"/>
      <c r="J58" s="52"/>
      <c r="K58" s="58">
        <f>+K55+K56+K57</f>
        <v>69.698505776030757</v>
      </c>
      <c r="L58" s="52" t="s">
        <v>33</v>
      </c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 spans="1:25" ht="24">
      <c r="A59" s="53"/>
      <c r="B59" s="52"/>
      <c r="C59" s="52"/>
      <c r="D59" s="52" t="s">
        <v>1244</v>
      </c>
      <c r="E59" s="52"/>
      <c r="F59" s="56"/>
      <c r="G59" s="56"/>
      <c r="H59" s="52"/>
      <c r="I59" s="52"/>
      <c r="J59" s="52"/>
      <c r="K59" s="59">
        <f>+K58*1.1</f>
        <v>76.66835635363384</v>
      </c>
      <c r="L59" s="52" t="s">
        <v>33</v>
      </c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 spans="1:25" ht="24">
      <c r="A60" s="53"/>
      <c r="B60" s="52"/>
      <c r="C60" s="52" t="s">
        <v>1245</v>
      </c>
      <c r="D60" s="52"/>
      <c r="E60" s="52"/>
      <c r="F60" s="52"/>
      <c r="G60" s="52"/>
      <c r="H60" s="52"/>
      <c r="I60" s="52" t="s">
        <v>859</v>
      </c>
      <c r="J60" s="52"/>
      <c r="K60" s="55">
        <f>+ROUND((K53/F55+1),0)*4</f>
        <v>24</v>
      </c>
      <c r="L60" s="52" t="s">
        <v>737</v>
      </c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</row>
    <row r="61" spans="1:25" ht="24">
      <c r="A61" s="53"/>
      <c r="B61" s="52"/>
      <c r="C61" s="52" t="s">
        <v>1246</v>
      </c>
      <c r="D61" s="52"/>
      <c r="E61" s="52"/>
      <c r="F61" s="52"/>
      <c r="G61" s="52"/>
      <c r="H61" s="52"/>
      <c r="I61" s="52" t="s">
        <v>859</v>
      </c>
      <c r="J61" s="52"/>
      <c r="K61" s="55">
        <f>+K60</f>
        <v>24</v>
      </c>
      <c r="L61" s="52" t="s">
        <v>737</v>
      </c>
      <c r="M61" s="52"/>
      <c r="N61" s="52"/>
      <c r="O61" s="60"/>
      <c r="P61" s="52"/>
      <c r="Q61" s="52"/>
      <c r="R61" s="52"/>
      <c r="S61" s="52"/>
      <c r="T61" s="52"/>
      <c r="U61" s="52"/>
      <c r="V61" s="52"/>
      <c r="W61" s="52"/>
      <c r="X61" s="52"/>
      <c r="Y61" s="52"/>
    </row>
    <row r="62" spans="1:25" ht="24">
      <c r="A62" s="53"/>
      <c r="B62" s="53"/>
      <c r="C62" s="52" t="s">
        <v>1247</v>
      </c>
      <c r="D62" s="52"/>
      <c r="E62" s="52"/>
      <c r="F62" s="52"/>
      <c r="G62" s="52"/>
      <c r="H62" s="52"/>
      <c r="I62" s="52" t="s">
        <v>859</v>
      </c>
      <c r="J62" s="52"/>
      <c r="K62" s="55">
        <f>+K61*2</f>
        <v>48</v>
      </c>
      <c r="L62" s="52" t="s">
        <v>737</v>
      </c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</row>
    <row r="63" spans="1:25" ht="24">
      <c r="A63" s="53"/>
      <c r="B63" s="52"/>
      <c r="C63" s="52" t="s">
        <v>1248</v>
      </c>
      <c r="D63" s="52"/>
      <c r="E63" s="52"/>
      <c r="F63" s="52" t="s">
        <v>1249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</row>
    <row r="64" spans="1:25" ht="24">
      <c r="A64" s="52"/>
      <c r="B64" s="52"/>
      <c r="C64" s="52" t="s">
        <v>1250</v>
      </c>
      <c r="D64" s="52"/>
      <c r="E64" s="52"/>
      <c r="F64" s="61">
        <v>23.5</v>
      </c>
      <c r="G64" s="52" t="s">
        <v>964</v>
      </c>
      <c r="H64" s="52"/>
      <c r="I64" s="52" t="s">
        <v>859</v>
      </c>
      <c r="J64" s="52"/>
      <c r="K64" s="61">
        <f>+F64*K59</f>
        <v>1801.7063743103952</v>
      </c>
      <c r="L64" s="52" t="s">
        <v>964</v>
      </c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 spans="1:25" ht="24">
      <c r="A65" s="52"/>
      <c r="B65" s="52"/>
      <c r="C65" s="52" t="s">
        <v>1245</v>
      </c>
      <c r="D65" s="52"/>
      <c r="E65" s="52"/>
      <c r="F65" s="61">
        <f>25</f>
        <v>25</v>
      </c>
      <c r="G65" s="52" t="s">
        <v>964</v>
      </c>
      <c r="H65" s="52"/>
      <c r="I65" s="52" t="s">
        <v>859</v>
      </c>
      <c r="J65" s="52"/>
      <c r="K65" s="61">
        <f>F65*K60</f>
        <v>600</v>
      </c>
      <c r="L65" s="52" t="s">
        <v>964</v>
      </c>
      <c r="M65" s="52"/>
      <c r="N65" s="52"/>
      <c r="O65" s="52" t="s">
        <v>1251</v>
      </c>
      <c r="P65" s="60" t="s">
        <v>1252</v>
      </c>
      <c r="Q65" s="52"/>
      <c r="R65" s="52"/>
      <c r="S65" s="52"/>
      <c r="T65" s="52"/>
      <c r="U65" s="62" t="s">
        <v>1253</v>
      </c>
      <c r="V65" s="62" t="s">
        <v>1254</v>
      </c>
      <c r="W65" s="52"/>
      <c r="X65" s="52"/>
      <c r="Y65" s="52"/>
    </row>
    <row r="66" spans="1:25" ht="24">
      <c r="A66" s="52"/>
      <c r="B66" s="52"/>
      <c r="C66" s="52" t="s">
        <v>1246</v>
      </c>
      <c r="D66" s="52"/>
      <c r="E66" s="52"/>
      <c r="F66" s="61">
        <f>(25/8)</f>
        <v>3.125</v>
      </c>
      <c r="G66" s="52" t="s">
        <v>964</v>
      </c>
      <c r="H66" s="52"/>
      <c r="I66" s="52" t="s">
        <v>859</v>
      </c>
      <c r="J66" s="52"/>
      <c r="K66" s="61">
        <f>F66*K61</f>
        <v>75</v>
      </c>
      <c r="L66" s="52" t="s">
        <v>964</v>
      </c>
      <c r="M66" s="52"/>
      <c r="N66" s="52"/>
      <c r="O66" s="52"/>
      <c r="P66" s="52"/>
      <c r="Q66" s="52"/>
      <c r="R66" s="53" t="s">
        <v>1255</v>
      </c>
      <c r="S66" s="52"/>
      <c r="T66" s="52"/>
      <c r="U66" s="63" t="s">
        <v>860</v>
      </c>
      <c r="V66" s="63" t="s">
        <v>860</v>
      </c>
      <c r="W66" s="53" t="s">
        <v>1256</v>
      </c>
      <c r="X66" s="52"/>
      <c r="Y66" s="52"/>
    </row>
    <row r="67" spans="1:25" ht="24">
      <c r="A67" s="52"/>
      <c r="B67" s="52"/>
      <c r="C67" s="52" t="s">
        <v>1247</v>
      </c>
      <c r="D67" s="52"/>
      <c r="E67" s="52"/>
      <c r="F67" s="61">
        <f>(19/10)</f>
        <v>1.9</v>
      </c>
      <c r="G67" s="52" t="s">
        <v>964</v>
      </c>
      <c r="H67" s="52"/>
      <c r="I67" s="52" t="s">
        <v>859</v>
      </c>
      <c r="J67" s="52"/>
      <c r="K67" s="61">
        <f>F67*K62</f>
        <v>91.199999999999989</v>
      </c>
      <c r="L67" s="52" t="s">
        <v>964</v>
      </c>
      <c r="M67" s="52"/>
      <c r="N67" s="52"/>
      <c r="O67" s="52"/>
      <c r="P67" s="52"/>
      <c r="Q67" s="52"/>
      <c r="R67" s="64" t="s">
        <v>54</v>
      </c>
      <c r="S67" s="65"/>
      <c r="T67" s="62" t="s">
        <v>1257</v>
      </c>
      <c r="U67" s="66">
        <v>35</v>
      </c>
      <c r="V67" s="67">
        <f>+T69+U67</f>
        <v>124.82277777777779</v>
      </c>
      <c r="W67" s="52" t="s">
        <v>1258</v>
      </c>
      <c r="X67" s="54">
        <f>+X68*5</f>
        <v>90</v>
      </c>
      <c r="Y67" s="52" t="s">
        <v>16</v>
      </c>
    </row>
    <row r="68" spans="1:25" ht="26.25">
      <c r="A68" s="52"/>
      <c r="B68" s="52" t="s">
        <v>1259</v>
      </c>
      <c r="C68" s="52"/>
      <c r="D68" s="52"/>
      <c r="E68" s="52"/>
      <c r="F68" s="52"/>
      <c r="G68" s="52"/>
      <c r="H68" s="52"/>
      <c r="I68" s="52" t="s">
        <v>859</v>
      </c>
      <c r="J68" s="52"/>
      <c r="K68" s="68">
        <f>+SUM(K64:K67)</f>
        <v>2567.9063743103952</v>
      </c>
      <c r="L68" s="52" t="s">
        <v>964</v>
      </c>
      <c r="M68" s="52"/>
      <c r="N68" s="69">
        <v>1</v>
      </c>
      <c r="O68" s="52"/>
      <c r="P68" s="52"/>
      <c r="Q68" s="52"/>
      <c r="R68" s="70"/>
      <c r="S68" s="71"/>
      <c r="T68" s="63" t="s">
        <v>860</v>
      </c>
      <c r="U68" s="72"/>
      <c r="V68" s="73">
        <f>+T70+U68</f>
        <v>0</v>
      </c>
      <c r="W68" s="52" t="s">
        <v>1260</v>
      </c>
      <c r="X68" s="54">
        <v>18</v>
      </c>
      <c r="Y68" s="52" t="s">
        <v>16</v>
      </c>
    </row>
    <row r="69" spans="1:25" ht="26.25">
      <c r="A69" s="52"/>
      <c r="B69" s="52"/>
      <c r="C69" s="52"/>
      <c r="D69" s="52"/>
      <c r="E69" s="52"/>
      <c r="F69" s="52" t="s">
        <v>3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74" t="s">
        <v>1255</v>
      </c>
      <c r="S69" s="75"/>
      <c r="T69" s="76">
        <f>+T73+T74*2</f>
        <v>89.822777777777787</v>
      </c>
      <c r="U69" s="77"/>
      <c r="V69" s="78">
        <f>ROUNDDOWN(+V67+V68,2)</f>
        <v>124.82</v>
      </c>
      <c r="W69" s="54"/>
      <c r="X69" s="52"/>
      <c r="Y69" s="52"/>
    </row>
    <row r="70" spans="1:25" ht="24">
      <c r="A70" s="52"/>
      <c r="B70" s="52" t="s">
        <v>1261</v>
      </c>
      <c r="C70" s="52"/>
      <c r="D70" s="52"/>
      <c r="E70" s="79"/>
      <c r="F70" s="61">
        <v>12</v>
      </c>
      <c r="G70" s="52" t="s">
        <v>977</v>
      </c>
      <c r="H70" s="52"/>
      <c r="I70" s="52" t="s">
        <v>859</v>
      </c>
      <c r="J70" s="52"/>
      <c r="K70" s="61">
        <f>+K59*F70</f>
        <v>920.02027624360608</v>
      </c>
      <c r="L70" s="52" t="s">
        <v>964</v>
      </c>
      <c r="M70" s="52"/>
      <c r="N70" s="69">
        <v>2</v>
      </c>
      <c r="O70" s="52"/>
      <c r="P70" s="52"/>
      <c r="Q70" s="52"/>
      <c r="R70" s="70"/>
      <c r="S70" s="71"/>
      <c r="T70" s="80"/>
      <c r="U70" s="52"/>
      <c r="V70" s="52"/>
      <c r="W70" s="52"/>
      <c r="X70" s="52"/>
      <c r="Y70" s="52"/>
    </row>
    <row r="71" spans="1:25" ht="24">
      <c r="A71" s="52"/>
      <c r="B71" s="52" t="s">
        <v>1262</v>
      </c>
      <c r="C71" s="52"/>
      <c r="D71" s="81">
        <f>+((((K53/F55+1)*H53)+(2*F56))*T55)+((K53/F55+1)*T57*2)</f>
        <v>2.9452431127404308</v>
      </c>
      <c r="E71" s="54" t="s">
        <v>16</v>
      </c>
      <c r="F71" s="61">
        <f>+V69</f>
        <v>124.82</v>
      </c>
      <c r="G71" s="52" t="s">
        <v>860</v>
      </c>
      <c r="H71" s="52"/>
      <c r="I71" s="52" t="s">
        <v>859</v>
      </c>
      <c r="J71" s="52"/>
      <c r="K71" s="61">
        <f>+D71*F71</f>
        <v>367.62524533226053</v>
      </c>
      <c r="L71" s="52" t="s">
        <v>964</v>
      </c>
      <c r="M71" s="52"/>
      <c r="N71" s="69">
        <v>3</v>
      </c>
      <c r="O71" s="52"/>
      <c r="P71" s="52"/>
      <c r="Q71" s="52"/>
      <c r="R71" s="52"/>
      <c r="S71" s="52"/>
      <c r="T71" s="82" t="s">
        <v>1263</v>
      </c>
      <c r="U71" s="52"/>
      <c r="V71" s="52"/>
      <c r="W71" s="52"/>
      <c r="X71" s="52"/>
      <c r="Y71" s="52"/>
    </row>
    <row r="72" spans="1:25" ht="24">
      <c r="A72" s="52"/>
      <c r="B72" s="52" t="s">
        <v>1130</v>
      </c>
      <c r="C72" s="61">
        <f>+K68</f>
        <v>2567.9063743103952</v>
      </c>
      <c r="D72" s="52" t="s">
        <v>1264</v>
      </c>
      <c r="E72" s="52"/>
      <c r="F72" s="52"/>
      <c r="G72" s="52"/>
      <c r="H72" s="52"/>
      <c r="I72" s="52" t="s">
        <v>859</v>
      </c>
      <c r="J72" s="52"/>
      <c r="K72" s="61">
        <f>+C72*0.3</f>
        <v>770.3719122931185</v>
      </c>
      <c r="L72" s="52" t="s">
        <v>964</v>
      </c>
      <c r="M72" s="52"/>
      <c r="N72" s="69">
        <v>4</v>
      </c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</row>
    <row r="73" spans="1:25" ht="26.25">
      <c r="A73" s="52"/>
      <c r="B73" s="52"/>
      <c r="C73" s="52"/>
      <c r="D73" s="52" t="s">
        <v>1265</v>
      </c>
      <c r="E73" s="52"/>
      <c r="F73" s="52"/>
      <c r="G73" s="52"/>
      <c r="H73" s="52"/>
      <c r="I73" s="52" t="s">
        <v>859</v>
      </c>
      <c r="J73" s="52"/>
      <c r="K73" s="68">
        <f>+K68+K70+K71+K72</f>
        <v>4625.9238081793801</v>
      </c>
      <c r="L73" s="52" t="s">
        <v>964</v>
      </c>
      <c r="M73" s="52"/>
      <c r="N73" s="69">
        <v>5</v>
      </c>
      <c r="O73" s="52"/>
      <c r="P73" s="83"/>
      <c r="Q73" s="52"/>
      <c r="R73" s="52"/>
      <c r="S73" s="52"/>
      <c r="T73" s="52">
        <f>+'ราคาระยอง 11-68'!F207/ราคาต่อหน่วยในงานนี้!X68</f>
        <v>15.576111111111111</v>
      </c>
      <c r="U73" s="52"/>
      <c r="V73" s="52"/>
      <c r="W73" s="52"/>
      <c r="X73" s="52"/>
      <c r="Y73" s="52"/>
    </row>
    <row r="74" spans="1:25" ht="26.25">
      <c r="A74" s="52"/>
      <c r="B74" s="52" t="s">
        <v>1266</v>
      </c>
      <c r="C74" s="52"/>
      <c r="D74" s="61">
        <f>+K73</f>
        <v>4625.9238081793801</v>
      </c>
      <c r="E74" s="52" t="s">
        <v>1267</v>
      </c>
      <c r="F74" s="52"/>
      <c r="G74" s="52"/>
      <c r="H74" s="52"/>
      <c r="I74" s="52" t="s">
        <v>859</v>
      </c>
      <c r="J74" s="52"/>
      <c r="K74" s="84">
        <f>+ROUNDDOWN(K73/K53,2)</f>
        <v>770.98</v>
      </c>
      <c r="L74" s="52" t="s">
        <v>1077</v>
      </c>
      <c r="M74" s="52"/>
      <c r="N74" s="52"/>
      <c r="O74" s="52"/>
      <c r="P74" s="52"/>
      <c r="Q74" s="52"/>
      <c r="R74" s="52"/>
      <c r="S74" s="52"/>
      <c r="T74" s="52">
        <f>+'ราคาระยอง 11-68'!F194/ราคาต่อหน่วยในงานนี้!X68</f>
        <v>37.123333333333335</v>
      </c>
      <c r="U74" s="52"/>
      <c r="V74" s="52"/>
      <c r="W74" s="52"/>
      <c r="X74" s="52"/>
      <c r="Y74" s="52"/>
    </row>
  </sheetData>
  <hyperlinks>
    <hyperlink ref="P65" r:id="rId1"/>
  </hyperlinks>
  <pageMargins left="0.7" right="0.7" top="0.75" bottom="0.75" header="0.3" footer="0.3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topLeftCell="C1" workbookViewId="0">
      <selection activeCell="G40" sqref="G40"/>
    </sheetView>
  </sheetViews>
  <sheetFormatPr defaultRowHeight="23.25"/>
  <cols>
    <col min="1" max="1" width="12" style="2" customWidth="1"/>
    <col min="2" max="2" width="19.7109375" style="2" customWidth="1"/>
    <col min="3" max="3" width="18.5703125" style="2" customWidth="1"/>
    <col min="4" max="4" width="94.7109375" style="2" customWidth="1"/>
    <col min="5" max="5" width="11" style="3" customWidth="1"/>
    <col min="6" max="7" width="40" style="2" customWidth="1"/>
    <col min="8" max="8" width="64" style="2" customWidth="1"/>
    <col min="9" max="9" width="21.28515625" style="2" customWidth="1"/>
    <col min="10" max="10" width="26.7109375" style="2" customWidth="1"/>
  </cols>
  <sheetData>
    <row r="1" spans="1:6" ht="28.35" customHeight="1">
      <c r="A1" s="1" t="s">
        <v>47</v>
      </c>
    </row>
    <row r="2" spans="1:6" ht="28.35" customHeight="1">
      <c r="A2" s="1" t="s">
        <v>48</v>
      </c>
    </row>
    <row r="3" spans="1:6" ht="28.35" customHeight="1">
      <c r="A3" s="1" t="s">
        <v>49</v>
      </c>
    </row>
    <row r="4" spans="1:6" ht="28.35" customHeight="1">
      <c r="A4" s="1" t="s">
        <v>50</v>
      </c>
    </row>
    <row r="5" spans="1:6" ht="28.35" customHeight="1">
      <c r="A5" s="4" t="s">
        <v>51</v>
      </c>
      <c r="B5" s="4" t="s">
        <v>52</v>
      </c>
      <c r="C5" s="4" t="s">
        <v>53</v>
      </c>
      <c r="D5" s="4" t="s">
        <v>54</v>
      </c>
      <c r="E5" s="4" t="s">
        <v>5</v>
      </c>
      <c r="F5" s="4" t="s">
        <v>55</v>
      </c>
    </row>
    <row r="6" spans="1:6" ht="25.9" customHeight="1">
      <c r="A6" s="5" t="s">
        <v>56</v>
      </c>
      <c r="B6" s="5" t="s">
        <v>57</v>
      </c>
      <c r="C6" s="5" t="s">
        <v>58</v>
      </c>
      <c r="D6" s="104" t="s">
        <v>59</v>
      </c>
      <c r="E6" s="5" t="s">
        <v>18</v>
      </c>
      <c r="F6" s="5" t="s">
        <v>60</v>
      </c>
    </row>
    <row r="7" spans="1:6" ht="25.9" customHeight="1">
      <c r="A7" s="5" t="s">
        <v>56</v>
      </c>
      <c r="B7" s="5" t="s">
        <v>57</v>
      </c>
      <c r="C7" s="5" t="s">
        <v>61</v>
      </c>
      <c r="D7" s="5" t="s">
        <v>62</v>
      </c>
      <c r="E7" s="5" t="s">
        <v>18</v>
      </c>
      <c r="F7" s="5" t="s">
        <v>63</v>
      </c>
    </row>
    <row r="8" spans="1:6" ht="25.9" customHeight="1">
      <c r="A8" s="5" t="s">
        <v>56</v>
      </c>
      <c r="B8" s="5" t="s">
        <v>57</v>
      </c>
      <c r="C8" s="5" t="s">
        <v>64</v>
      </c>
      <c r="D8" s="5" t="s">
        <v>65</v>
      </c>
      <c r="E8" s="5" t="s">
        <v>18</v>
      </c>
      <c r="F8" s="5" t="s">
        <v>66</v>
      </c>
    </row>
    <row r="9" spans="1:6" ht="25.9" customHeight="1">
      <c r="A9" s="5" t="s">
        <v>56</v>
      </c>
      <c r="B9" s="5" t="s">
        <v>57</v>
      </c>
      <c r="C9" s="5" t="s">
        <v>67</v>
      </c>
      <c r="D9" s="5" t="s">
        <v>68</v>
      </c>
      <c r="E9" s="5" t="s">
        <v>18</v>
      </c>
      <c r="F9" s="5" t="s">
        <v>69</v>
      </c>
    </row>
    <row r="10" spans="1:6" ht="25.9" customHeight="1">
      <c r="A10" s="5" t="s">
        <v>56</v>
      </c>
      <c r="B10" s="5" t="s">
        <v>57</v>
      </c>
      <c r="C10" s="5" t="s">
        <v>70</v>
      </c>
      <c r="D10" s="5" t="s">
        <v>71</v>
      </c>
      <c r="E10" s="5" t="s">
        <v>18</v>
      </c>
      <c r="F10" s="5" t="s">
        <v>72</v>
      </c>
    </row>
    <row r="11" spans="1:6" ht="25.9" customHeight="1">
      <c r="A11" s="5" t="s">
        <v>56</v>
      </c>
      <c r="B11" s="5" t="s">
        <v>57</v>
      </c>
      <c r="C11" s="5" t="s">
        <v>73</v>
      </c>
      <c r="D11" s="5" t="s">
        <v>74</v>
      </c>
      <c r="E11" s="5" t="s">
        <v>18</v>
      </c>
      <c r="F11" s="5" t="s">
        <v>75</v>
      </c>
    </row>
    <row r="12" spans="1:6" ht="25.9" customHeight="1">
      <c r="A12" s="5" t="s">
        <v>56</v>
      </c>
      <c r="B12" s="5" t="s">
        <v>57</v>
      </c>
      <c r="C12" s="5" t="s">
        <v>76</v>
      </c>
      <c r="D12" s="5" t="s">
        <v>77</v>
      </c>
      <c r="E12" s="5" t="s">
        <v>18</v>
      </c>
      <c r="F12" s="5" t="s">
        <v>78</v>
      </c>
    </row>
    <row r="13" spans="1:6" ht="25.9" customHeight="1">
      <c r="A13" s="5" t="s">
        <v>56</v>
      </c>
      <c r="B13" s="5" t="s">
        <v>57</v>
      </c>
      <c r="C13" s="5" t="s">
        <v>79</v>
      </c>
      <c r="D13" s="5" t="s">
        <v>80</v>
      </c>
      <c r="E13" s="5" t="s">
        <v>18</v>
      </c>
      <c r="F13" s="5" t="s">
        <v>81</v>
      </c>
    </row>
    <row r="14" spans="1:6" ht="28.35" customHeight="1">
      <c r="A14" s="5" t="s">
        <v>82</v>
      </c>
      <c r="B14" s="5" t="s">
        <v>83</v>
      </c>
      <c r="C14" s="5" t="s">
        <v>84</v>
      </c>
      <c r="D14" s="5" t="s">
        <v>85</v>
      </c>
      <c r="E14" s="5" t="s">
        <v>86</v>
      </c>
      <c r="F14" s="5" t="s">
        <v>87</v>
      </c>
    </row>
    <row r="15" spans="1:6" ht="28.35" customHeight="1">
      <c r="A15" s="5" t="s">
        <v>82</v>
      </c>
      <c r="B15" s="5" t="s">
        <v>83</v>
      </c>
      <c r="C15" s="5" t="s">
        <v>88</v>
      </c>
      <c r="D15" s="5" t="s">
        <v>89</v>
      </c>
      <c r="E15" s="5" t="s">
        <v>86</v>
      </c>
      <c r="F15" s="5" t="s">
        <v>90</v>
      </c>
    </row>
    <row r="16" spans="1:6" ht="28.35" customHeight="1">
      <c r="A16" s="5" t="s">
        <v>82</v>
      </c>
      <c r="B16" s="5" t="s">
        <v>83</v>
      </c>
      <c r="C16" s="5" t="s">
        <v>91</v>
      </c>
      <c r="D16" s="5" t="s">
        <v>92</v>
      </c>
      <c r="E16" s="5" t="s">
        <v>86</v>
      </c>
      <c r="F16" s="5" t="s">
        <v>93</v>
      </c>
    </row>
    <row r="17" spans="1:7" ht="28.35" customHeight="1">
      <c r="A17" s="5" t="s">
        <v>82</v>
      </c>
      <c r="B17" s="5" t="s">
        <v>83</v>
      </c>
      <c r="C17" s="5" t="s">
        <v>94</v>
      </c>
      <c r="D17" s="5" t="s">
        <v>95</v>
      </c>
      <c r="E17" s="5" t="s">
        <v>86</v>
      </c>
      <c r="F17" s="5" t="s">
        <v>96</v>
      </c>
    </row>
    <row r="18" spans="1:7" ht="28.35" customHeight="1">
      <c r="A18" s="5" t="s">
        <v>97</v>
      </c>
      <c r="B18" s="5" t="s">
        <v>98</v>
      </c>
      <c r="C18" s="5" t="s">
        <v>99</v>
      </c>
      <c r="D18" s="5" t="s">
        <v>100</v>
      </c>
      <c r="E18" s="5" t="s">
        <v>26</v>
      </c>
      <c r="F18" s="5" t="s">
        <v>101</v>
      </c>
    </row>
    <row r="19" spans="1:7" ht="28.35" customHeight="1">
      <c r="A19" s="5" t="s">
        <v>97</v>
      </c>
      <c r="B19" s="5" t="s">
        <v>98</v>
      </c>
      <c r="C19" s="5" t="s">
        <v>102</v>
      </c>
      <c r="D19" s="5" t="s">
        <v>103</v>
      </c>
      <c r="E19" s="5" t="s">
        <v>26</v>
      </c>
      <c r="F19" s="5" t="s">
        <v>104</v>
      </c>
    </row>
    <row r="20" spans="1:7" ht="28.35" customHeight="1">
      <c r="A20" s="5" t="s">
        <v>97</v>
      </c>
      <c r="B20" s="5" t="s">
        <v>98</v>
      </c>
      <c r="C20" s="5" t="s">
        <v>105</v>
      </c>
      <c r="D20" s="5" t="s">
        <v>106</v>
      </c>
      <c r="E20" s="5" t="s">
        <v>26</v>
      </c>
      <c r="F20" s="5" t="s">
        <v>107</v>
      </c>
    </row>
    <row r="21" spans="1:7" ht="28.35" customHeight="1">
      <c r="A21" s="5" t="s">
        <v>97</v>
      </c>
      <c r="B21" s="5" t="s">
        <v>98</v>
      </c>
      <c r="C21" s="5" t="s">
        <v>108</v>
      </c>
      <c r="D21" s="5" t="s">
        <v>109</v>
      </c>
      <c r="E21" s="5" t="s">
        <v>26</v>
      </c>
      <c r="F21" s="5" t="s">
        <v>110</v>
      </c>
    </row>
    <row r="22" spans="1:7" ht="28.35" customHeight="1">
      <c r="A22" s="5" t="s">
        <v>97</v>
      </c>
      <c r="B22" s="5" t="s">
        <v>98</v>
      </c>
      <c r="C22" s="5" t="s">
        <v>111</v>
      </c>
      <c r="D22" s="5" t="s">
        <v>112</v>
      </c>
      <c r="E22" s="5" t="s">
        <v>26</v>
      </c>
      <c r="F22" s="5" t="s">
        <v>113</v>
      </c>
    </row>
    <row r="23" spans="1:7" ht="28.35" customHeight="1">
      <c r="A23" s="5" t="s">
        <v>97</v>
      </c>
      <c r="B23" s="5" t="s">
        <v>98</v>
      </c>
      <c r="C23" s="5" t="s">
        <v>114</v>
      </c>
      <c r="D23" s="5" t="s">
        <v>115</v>
      </c>
      <c r="E23" s="5" t="s">
        <v>26</v>
      </c>
      <c r="F23" s="5" t="s">
        <v>116</v>
      </c>
    </row>
    <row r="24" spans="1:7" ht="28.35" customHeight="1">
      <c r="A24" s="5" t="s">
        <v>97</v>
      </c>
      <c r="B24" s="5" t="s">
        <v>98</v>
      </c>
      <c r="C24" s="5" t="s">
        <v>117</v>
      </c>
      <c r="D24" s="5" t="s">
        <v>118</v>
      </c>
      <c r="E24" s="5" t="s">
        <v>26</v>
      </c>
      <c r="F24" s="5" t="s">
        <v>119</v>
      </c>
    </row>
    <row r="25" spans="1:7" ht="28.35" customHeight="1">
      <c r="A25" s="5" t="s">
        <v>97</v>
      </c>
      <c r="B25" s="5" t="s">
        <v>98</v>
      </c>
      <c r="C25" s="5" t="s">
        <v>120</v>
      </c>
      <c r="D25" s="5" t="s">
        <v>121</v>
      </c>
      <c r="E25" s="5" t="s">
        <v>26</v>
      </c>
      <c r="F25" s="5" t="s">
        <v>122</v>
      </c>
    </row>
    <row r="26" spans="1:7" ht="28.35" customHeight="1">
      <c r="A26" s="5" t="s">
        <v>97</v>
      </c>
      <c r="B26" s="5" t="s">
        <v>98</v>
      </c>
      <c r="C26" s="5" t="s">
        <v>123</v>
      </c>
      <c r="D26" s="5" t="s">
        <v>124</v>
      </c>
      <c r="E26" s="5" t="s">
        <v>26</v>
      </c>
      <c r="F26" s="5" t="s">
        <v>125</v>
      </c>
      <c r="G26" s="2">
        <f>+F26/21/(0.3*0.3)</f>
        <v>5043.7619047619046</v>
      </c>
    </row>
    <row r="27" spans="1:7" ht="28.35" customHeight="1">
      <c r="A27" s="5" t="s">
        <v>97</v>
      </c>
      <c r="B27" s="5" t="s">
        <v>98</v>
      </c>
      <c r="C27" s="5" t="s">
        <v>126</v>
      </c>
      <c r="D27" s="5" t="s">
        <v>127</v>
      </c>
      <c r="E27" s="5" t="s">
        <v>26</v>
      </c>
      <c r="F27" s="5" t="s">
        <v>128</v>
      </c>
      <c r="G27" s="2">
        <v>5195</v>
      </c>
    </row>
    <row r="28" spans="1:7" ht="28.35" customHeight="1">
      <c r="A28" s="5" t="s">
        <v>97</v>
      </c>
      <c r="B28" s="5" t="s">
        <v>98</v>
      </c>
      <c r="C28" s="5" t="s">
        <v>129</v>
      </c>
      <c r="D28" s="5" t="s">
        <v>130</v>
      </c>
      <c r="E28" s="5" t="s">
        <v>26</v>
      </c>
      <c r="F28" s="5" t="s">
        <v>131</v>
      </c>
      <c r="G28" s="2">
        <f>+F28/21/(0.4*0.4)</f>
        <v>5257.0089285714275</v>
      </c>
    </row>
    <row r="29" spans="1:7" ht="28.35" customHeight="1">
      <c r="A29" s="5" t="s">
        <v>132</v>
      </c>
      <c r="B29" s="5" t="s">
        <v>133</v>
      </c>
      <c r="C29" s="5" t="s">
        <v>134</v>
      </c>
      <c r="D29" s="5" t="s">
        <v>135</v>
      </c>
      <c r="E29" s="5" t="s">
        <v>136</v>
      </c>
      <c r="F29" s="5" t="s">
        <v>137</v>
      </c>
    </row>
    <row r="30" spans="1:7" ht="28.35" customHeight="1">
      <c r="A30" s="5" t="s">
        <v>132</v>
      </c>
      <c r="B30" s="5" t="s">
        <v>133</v>
      </c>
      <c r="C30" s="5" t="s">
        <v>138</v>
      </c>
      <c r="D30" s="5" t="s">
        <v>139</v>
      </c>
      <c r="E30" s="5" t="s">
        <v>136</v>
      </c>
      <c r="F30" s="5" t="s">
        <v>140</v>
      </c>
    </row>
    <row r="31" spans="1:7" ht="28.35" customHeight="1">
      <c r="A31" s="5" t="s">
        <v>132</v>
      </c>
      <c r="B31" s="5" t="s">
        <v>133</v>
      </c>
      <c r="C31" s="5" t="s">
        <v>141</v>
      </c>
      <c r="D31" s="5" t="s">
        <v>142</v>
      </c>
      <c r="E31" s="5" t="s">
        <v>136</v>
      </c>
      <c r="F31" s="5" t="s">
        <v>143</v>
      </c>
    </row>
    <row r="32" spans="1:7" ht="28.35" customHeight="1">
      <c r="A32" s="5" t="s">
        <v>132</v>
      </c>
      <c r="B32" s="5" t="s">
        <v>133</v>
      </c>
      <c r="C32" s="5" t="s">
        <v>144</v>
      </c>
      <c r="D32" s="5" t="s">
        <v>145</v>
      </c>
      <c r="E32" s="5" t="s">
        <v>136</v>
      </c>
      <c r="F32" s="5" t="s">
        <v>146</v>
      </c>
    </row>
    <row r="33" spans="1:7" ht="28.35" customHeight="1">
      <c r="A33" s="5" t="s">
        <v>132</v>
      </c>
      <c r="B33" s="5" t="s">
        <v>133</v>
      </c>
      <c r="C33" s="5" t="s">
        <v>147</v>
      </c>
      <c r="D33" s="5" t="s">
        <v>148</v>
      </c>
      <c r="E33" s="5" t="s">
        <v>136</v>
      </c>
      <c r="F33" s="5" t="s">
        <v>149</v>
      </c>
    </row>
    <row r="34" spans="1:7" ht="28.35" customHeight="1">
      <c r="A34" s="5" t="s">
        <v>132</v>
      </c>
      <c r="B34" s="5" t="s">
        <v>133</v>
      </c>
      <c r="C34" s="5" t="s">
        <v>150</v>
      </c>
      <c r="D34" s="5" t="s">
        <v>151</v>
      </c>
      <c r="E34" s="5" t="s">
        <v>136</v>
      </c>
      <c r="F34" s="5" t="s">
        <v>152</v>
      </c>
    </row>
    <row r="35" spans="1:7" ht="28.35" customHeight="1">
      <c r="A35" s="5" t="s">
        <v>132</v>
      </c>
      <c r="B35" s="5" t="s">
        <v>133</v>
      </c>
      <c r="C35" s="5" t="s">
        <v>153</v>
      </c>
      <c r="D35" s="5" t="s">
        <v>154</v>
      </c>
      <c r="E35" s="5" t="s">
        <v>33</v>
      </c>
      <c r="F35" s="5" t="s">
        <v>155</v>
      </c>
    </row>
    <row r="36" spans="1:7" ht="28.35" customHeight="1">
      <c r="A36" s="5" t="s">
        <v>132</v>
      </c>
      <c r="B36" s="5" t="s">
        <v>133</v>
      </c>
      <c r="C36" s="5" t="s">
        <v>156</v>
      </c>
      <c r="D36" s="5" t="s">
        <v>157</v>
      </c>
      <c r="E36" s="5" t="s">
        <v>26</v>
      </c>
      <c r="F36" s="5" t="s">
        <v>158</v>
      </c>
      <c r="G36" s="2">
        <f>+F36/14.5</f>
        <v>24.170344827586209</v>
      </c>
    </row>
    <row r="37" spans="1:7" ht="28.35" customHeight="1">
      <c r="A37" s="5" t="s">
        <v>132</v>
      </c>
      <c r="B37" s="5" t="s">
        <v>133</v>
      </c>
      <c r="C37" s="5" t="s">
        <v>159</v>
      </c>
      <c r="D37" s="5" t="s">
        <v>160</v>
      </c>
      <c r="E37" s="5" t="s">
        <v>26</v>
      </c>
      <c r="F37" s="5" t="s">
        <v>161</v>
      </c>
      <c r="G37" s="2">
        <f>+F37/21</f>
        <v>21.829047619047621</v>
      </c>
    </row>
    <row r="38" spans="1:7" ht="28.35" customHeight="1">
      <c r="A38" s="5" t="s">
        <v>132</v>
      </c>
      <c r="B38" s="5" t="s">
        <v>133</v>
      </c>
      <c r="C38" s="5" t="s">
        <v>162</v>
      </c>
      <c r="D38" s="5" t="s">
        <v>163</v>
      </c>
      <c r="E38" s="5" t="s">
        <v>26</v>
      </c>
      <c r="F38" s="5" t="s">
        <v>164</v>
      </c>
      <c r="G38" s="2">
        <f>+F38/26</f>
        <v>26.958846153846153</v>
      </c>
    </row>
    <row r="39" spans="1:7" ht="28.35" customHeight="1">
      <c r="A39" s="5" t="s">
        <v>132</v>
      </c>
      <c r="B39" s="5" t="s">
        <v>133</v>
      </c>
      <c r="C39" s="5" t="s">
        <v>165</v>
      </c>
      <c r="D39" s="5" t="s">
        <v>166</v>
      </c>
      <c r="E39" s="5" t="s">
        <v>26</v>
      </c>
      <c r="F39" s="5" t="s">
        <v>167</v>
      </c>
      <c r="G39" s="2">
        <f>+F39/23.5</f>
        <v>23.782127659574467</v>
      </c>
    </row>
    <row r="40" spans="1:7" ht="28.35" customHeight="1">
      <c r="A40" s="5" t="s">
        <v>132</v>
      </c>
      <c r="B40" s="5" t="s">
        <v>133</v>
      </c>
      <c r="C40" s="5" t="s">
        <v>168</v>
      </c>
      <c r="D40" s="5" t="s">
        <v>169</v>
      </c>
      <c r="E40" s="5" t="s">
        <v>26</v>
      </c>
      <c r="F40" s="5" t="s">
        <v>170</v>
      </c>
    </row>
    <row r="41" spans="1:7" ht="28.35" customHeight="1">
      <c r="A41" s="5" t="s">
        <v>132</v>
      </c>
      <c r="B41" s="5" t="s">
        <v>133</v>
      </c>
      <c r="C41" s="5" t="s">
        <v>171</v>
      </c>
      <c r="D41" s="5" t="s">
        <v>172</v>
      </c>
      <c r="E41" s="5" t="s">
        <v>26</v>
      </c>
      <c r="F41" s="5" t="s">
        <v>173</v>
      </c>
    </row>
    <row r="42" spans="1:7" ht="28.35" customHeight="1">
      <c r="A42" s="5" t="s">
        <v>132</v>
      </c>
      <c r="B42" s="5" t="s">
        <v>133</v>
      </c>
      <c r="C42" s="5" t="s">
        <v>174</v>
      </c>
      <c r="D42" s="5" t="s">
        <v>175</v>
      </c>
      <c r="E42" s="5" t="s">
        <v>26</v>
      </c>
      <c r="F42" s="5" t="s">
        <v>176</v>
      </c>
    </row>
    <row r="43" spans="1:7" ht="28.35" customHeight="1">
      <c r="A43" s="5" t="s">
        <v>132</v>
      </c>
      <c r="B43" s="5" t="s">
        <v>133</v>
      </c>
      <c r="C43" s="5" t="s">
        <v>177</v>
      </c>
      <c r="D43" s="5" t="s">
        <v>178</v>
      </c>
      <c r="E43" s="5" t="s">
        <v>26</v>
      </c>
      <c r="F43" s="5" t="s">
        <v>179</v>
      </c>
    </row>
    <row r="44" spans="1:7" ht="28.35" customHeight="1">
      <c r="A44" s="5" t="s">
        <v>132</v>
      </c>
      <c r="B44" s="5" t="s">
        <v>133</v>
      </c>
      <c r="C44" s="5" t="s">
        <v>180</v>
      </c>
      <c r="D44" s="5" t="s">
        <v>181</v>
      </c>
      <c r="E44" s="5" t="s">
        <v>26</v>
      </c>
      <c r="F44" s="5" t="s">
        <v>182</v>
      </c>
    </row>
    <row r="45" spans="1:7" ht="28.35" customHeight="1">
      <c r="A45" s="5" t="s">
        <v>132</v>
      </c>
      <c r="B45" s="5" t="s">
        <v>133</v>
      </c>
      <c r="C45" s="5" t="s">
        <v>183</v>
      </c>
      <c r="D45" s="5" t="s">
        <v>184</v>
      </c>
      <c r="E45" s="5" t="s">
        <v>26</v>
      </c>
      <c r="F45" s="5" t="s">
        <v>185</v>
      </c>
    </row>
    <row r="46" spans="1:7" ht="28.35" customHeight="1">
      <c r="A46" s="5" t="s">
        <v>132</v>
      </c>
      <c r="B46" s="5" t="s">
        <v>133</v>
      </c>
      <c r="C46" s="5" t="s">
        <v>186</v>
      </c>
      <c r="D46" s="5" t="s">
        <v>187</v>
      </c>
      <c r="E46" s="5" t="s">
        <v>26</v>
      </c>
      <c r="F46" s="5" t="s">
        <v>188</v>
      </c>
    </row>
    <row r="47" spans="1:7" ht="28.35" customHeight="1">
      <c r="A47" s="5" t="s">
        <v>132</v>
      </c>
      <c r="B47" s="5" t="s">
        <v>133</v>
      </c>
      <c r="C47" s="5" t="s">
        <v>189</v>
      </c>
      <c r="D47" s="5" t="s">
        <v>190</v>
      </c>
      <c r="E47" s="5" t="s">
        <v>26</v>
      </c>
      <c r="F47" s="5" t="s">
        <v>188</v>
      </c>
    </row>
    <row r="48" spans="1:7" ht="28.35" customHeight="1">
      <c r="A48" s="5" t="s">
        <v>132</v>
      </c>
      <c r="B48" s="5" t="s">
        <v>133</v>
      </c>
      <c r="C48" s="5" t="s">
        <v>191</v>
      </c>
      <c r="D48" s="5" t="s">
        <v>192</v>
      </c>
      <c r="E48" s="5" t="s">
        <v>26</v>
      </c>
      <c r="F48" s="5" t="s">
        <v>193</v>
      </c>
    </row>
    <row r="49" spans="1:6" ht="28.35" customHeight="1">
      <c r="A49" s="5" t="s">
        <v>132</v>
      </c>
      <c r="B49" s="5" t="s">
        <v>133</v>
      </c>
      <c r="C49" s="5" t="s">
        <v>194</v>
      </c>
      <c r="D49" s="5" t="s">
        <v>195</v>
      </c>
      <c r="E49" s="5" t="s">
        <v>26</v>
      </c>
      <c r="F49" s="5" t="s">
        <v>196</v>
      </c>
    </row>
    <row r="50" spans="1:6" ht="28.35" customHeight="1">
      <c r="A50" s="5" t="s">
        <v>132</v>
      </c>
      <c r="B50" s="5" t="s">
        <v>133</v>
      </c>
      <c r="C50" s="5" t="s">
        <v>197</v>
      </c>
      <c r="D50" s="5" t="s">
        <v>198</v>
      </c>
      <c r="E50" s="5" t="s">
        <v>26</v>
      </c>
      <c r="F50" s="5" t="s">
        <v>199</v>
      </c>
    </row>
    <row r="51" spans="1:6" ht="28.35" customHeight="1">
      <c r="A51" s="5" t="s">
        <v>200</v>
      </c>
      <c r="B51" s="5" t="s">
        <v>201</v>
      </c>
      <c r="C51" s="5" t="s">
        <v>202</v>
      </c>
      <c r="D51" s="5" t="s">
        <v>203</v>
      </c>
      <c r="E51" s="5" t="s">
        <v>26</v>
      </c>
      <c r="F51" s="5" t="s">
        <v>204</v>
      </c>
    </row>
    <row r="52" spans="1:6" ht="28.35" customHeight="1">
      <c r="A52" s="5" t="s">
        <v>200</v>
      </c>
      <c r="B52" s="5" t="s">
        <v>201</v>
      </c>
      <c r="C52" s="5" t="s">
        <v>205</v>
      </c>
      <c r="D52" s="5" t="s">
        <v>206</v>
      </c>
      <c r="E52" s="5" t="s">
        <v>207</v>
      </c>
      <c r="F52" s="5" t="s">
        <v>208</v>
      </c>
    </row>
    <row r="53" spans="1:6" ht="28.35" customHeight="1">
      <c r="A53" s="5" t="s">
        <v>200</v>
      </c>
      <c r="B53" s="5" t="s">
        <v>201</v>
      </c>
      <c r="C53" s="5" t="s">
        <v>209</v>
      </c>
      <c r="D53" s="5" t="s">
        <v>210</v>
      </c>
      <c r="E53" s="5" t="s">
        <v>207</v>
      </c>
      <c r="F53" s="5" t="s">
        <v>211</v>
      </c>
    </row>
    <row r="54" spans="1:6" ht="28.35" customHeight="1">
      <c r="A54" s="5" t="s">
        <v>200</v>
      </c>
      <c r="B54" s="5" t="s">
        <v>201</v>
      </c>
      <c r="C54" s="5" t="s">
        <v>212</v>
      </c>
      <c r="D54" s="5" t="s">
        <v>213</v>
      </c>
      <c r="E54" s="5" t="s">
        <v>207</v>
      </c>
      <c r="F54" s="5" t="s">
        <v>214</v>
      </c>
    </row>
    <row r="55" spans="1:6" ht="28.35" customHeight="1">
      <c r="A55" s="5" t="s">
        <v>200</v>
      </c>
      <c r="B55" s="5" t="s">
        <v>201</v>
      </c>
      <c r="C55" s="5" t="s">
        <v>215</v>
      </c>
      <c r="D55" s="5" t="s">
        <v>216</v>
      </c>
      <c r="E55" s="5" t="s">
        <v>207</v>
      </c>
      <c r="F55" s="5" t="s">
        <v>217</v>
      </c>
    </row>
    <row r="56" spans="1:6" ht="28.35" customHeight="1">
      <c r="A56" s="5" t="s">
        <v>200</v>
      </c>
      <c r="B56" s="5" t="s">
        <v>201</v>
      </c>
      <c r="C56" s="5" t="s">
        <v>218</v>
      </c>
      <c r="D56" s="5" t="s">
        <v>219</v>
      </c>
      <c r="E56" s="5" t="s">
        <v>207</v>
      </c>
      <c r="F56" s="5" t="s">
        <v>220</v>
      </c>
    </row>
    <row r="57" spans="1:6" ht="28.35" customHeight="1">
      <c r="A57" s="5" t="s">
        <v>200</v>
      </c>
      <c r="B57" s="5" t="s">
        <v>201</v>
      </c>
      <c r="C57" s="5" t="s">
        <v>221</v>
      </c>
      <c r="D57" s="5" t="s">
        <v>222</v>
      </c>
      <c r="E57" s="5" t="s">
        <v>207</v>
      </c>
      <c r="F57" s="5" t="s">
        <v>223</v>
      </c>
    </row>
    <row r="58" spans="1:6" ht="28.35" customHeight="1">
      <c r="A58" s="5" t="s">
        <v>200</v>
      </c>
      <c r="B58" s="5" t="s">
        <v>201</v>
      </c>
      <c r="C58" s="5" t="s">
        <v>224</v>
      </c>
      <c r="D58" s="5" t="s">
        <v>225</v>
      </c>
      <c r="E58" s="5" t="s">
        <v>207</v>
      </c>
      <c r="F58" s="5" t="s">
        <v>226</v>
      </c>
    </row>
    <row r="59" spans="1:6" ht="28.35" customHeight="1">
      <c r="A59" s="5" t="s">
        <v>200</v>
      </c>
      <c r="B59" s="5" t="s">
        <v>201</v>
      </c>
      <c r="C59" s="5" t="s">
        <v>227</v>
      </c>
      <c r="D59" s="5" t="s">
        <v>228</v>
      </c>
      <c r="E59" s="5" t="s">
        <v>207</v>
      </c>
      <c r="F59" s="5" t="s">
        <v>229</v>
      </c>
    </row>
    <row r="60" spans="1:6" ht="28.35" customHeight="1">
      <c r="A60" s="5" t="s">
        <v>200</v>
      </c>
      <c r="B60" s="5" t="s">
        <v>201</v>
      </c>
      <c r="C60" s="5" t="s">
        <v>230</v>
      </c>
      <c r="D60" s="5" t="s">
        <v>231</v>
      </c>
      <c r="E60" s="5" t="s">
        <v>207</v>
      </c>
      <c r="F60" s="5" t="s">
        <v>232</v>
      </c>
    </row>
    <row r="61" spans="1:6" ht="28.35" customHeight="1">
      <c r="A61" s="5" t="s">
        <v>200</v>
      </c>
      <c r="B61" s="5" t="s">
        <v>201</v>
      </c>
      <c r="C61" s="5" t="s">
        <v>233</v>
      </c>
      <c r="D61" s="5" t="s">
        <v>234</v>
      </c>
      <c r="E61" s="5" t="s">
        <v>26</v>
      </c>
      <c r="F61" s="5" t="s">
        <v>235</v>
      </c>
    </row>
    <row r="62" spans="1:6" ht="28.35" customHeight="1">
      <c r="A62" s="5" t="s">
        <v>200</v>
      </c>
      <c r="B62" s="5" t="s">
        <v>201</v>
      </c>
      <c r="C62" s="5" t="s">
        <v>236</v>
      </c>
      <c r="D62" s="5" t="s">
        <v>237</v>
      </c>
      <c r="E62" s="5" t="s">
        <v>26</v>
      </c>
      <c r="F62" s="5" t="s">
        <v>238</v>
      </c>
    </row>
    <row r="63" spans="1:6" ht="28.35" customHeight="1">
      <c r="A63" s="5" t="s">
        <v>200</v>
      </c>
      <c r="B63" s="5" t="s">
        <v>201</v>
      </c>
      <c r="C63" s="5" t="s">
        <v>239</v>
      </c>
      <c r="D63" s="5" t="s">
        <v>240</v>
      </c>
      <c r="E63" s="5" t="s">
        <v>26</v>
      </c>
      <c r="F63" s="5" t="s">
        <v>241</v>
      </c>
    </row>
    <row r="64" spans="1:6" ht="28.35" customHeight="1">
      <c r="A64" s="5" t="s">
        <v>200</v>
      </c>
      <c r="B64" s="5" t="s">
        <v>201</v>
      </c>
      <c r="C64" s="5" t="s">
        <v>242</v>
      </c>
      <c r="D64" s="5" t="s">
        <v>243</v>
      </c>
      <c r="E64" s="5" t="s">
        <v>26</v>
      </c>
      <c r="F64" s="5" t="s">
        <v>244</v>
      </c>
    </row>
    <row r="65" spans="1:6" ht="28.35" customHeight="1">
      <c r="A65" s="5" t="s">
        <v>200</v>
      </c>
      <c r="B65" s="5" t="s">
        <v>201</v>
      </c>
      <c r="C65" s="5" t="s">
        <v>245</v>
      </c>
      <c r="D65" s="5" t="s">
        <v>246</v>
      </c>
      <c r="E65" s="5" t="s">
        <v>26</v>
      </c>
      <c r="F65" s="5" t="s">
        <v>247</v>
      </c>
    </row>
    <row r="66" spans="1:6" ht="28.35" customHeight="1">
      <c r="A66" s="5" t="s">
        <v>200</v>
      </c>
      <c r="B66" s="5" t="s">
        <v>201</v>
      </c>
      <c r="C66" s="5" t="s">
        <v>248</v>
      </c>
      <c r="D66" s="5" t="s">
        <v>249</v>
      </c>
      <c r="E66" s="5" t="s">
        <v>26</v>
      </c>
      <c r="F66" s="5" t="s">
        <v>250</v>
      </c>
    </row>
    <row r="67" spans="1:6" ht="28.35" customHeight="1">
      <c r="A67" s="5" t="s">
        <v>200</v>
      </c>
      <c r="B67" s="5" t="s">
        <v>201</v>
      </c>
      <c r="C67" s="5" t="s">
        <v>251</v>
      </c>
      <c r="D67" s="5" t="s">
        <v>252</v>
      </c>
      <c r="E67" s="5" t="s">
        <v>26</v>
      </c>
      <c r="F67" s="5" t="s">
        <v>253</v>
      </c>
    </row>
    <row r="68" spans="1:6" ht="28.35" customHeight="1">
      <c r="A68" s="5" t="s">
        <v>200</v>
      </c>
      <c r="B68" s="5" t="s">
        <v>201</v>
      </c>
      <c r="C68" s="5" t="s">
        <v>254</v>
      </c>
      <c r="D68" s="5" t="s">
        <v>255</v>
      </c>
      <c r="E68" s="5" t="s">
        <v>26</v>
      </c>
      <c r="F68" s="5" t="s">
        <v>256</v>
      </c>
    </row>
    <row r="69" spans="1:6" ht="28.35" customHeight="1">
      <c r="A69" s="5" t="s">
        <v>200</v>
      </c>
      <c r="B69" s="5" t="s">
        <v>201</v>
      </c>
      <c r="C69" s="5" t="s">
        <v>257</v>
      </c>
      <c r="D69" s="5" t="s">
        <v>258</v>
      </c>
      <c r="E69" s="5" t="s">
        <v>26</v>
      </c>
      <c r="F69" s="5" t="s">
        <v>259</v>
      </c>
    </row>
    <row r="70" spans="1:6" ht="28.35" customHeight="1">
      <c r="A70" s="5" t="s">
        <v>200</v>
      </c>
      <c r="B70" s="5" t="s">
        <v>201</v>
      </c>
      <c r="C70" s="5" t="s">
        <v>260</v>
      </c>
      <c r="D70" s="5" t="s">
        <v>261</v>
      </c>
      <c r="E70" s="5" t="s">
        <v>26</v>
      </c>
      <c r="F70" s="5" t="s">
        <v>262</v>
      </c>
    </row>
    <row r="71" spans="1:6" ht="28.35" customHeight="1">
      <c r="A71" s="5" t="s">
        <v>200</v>
      </c>
      <c r="B71" s="5" t="s">
        <v>201</v>
      </c>
      <c r="C71" s="5" t="s">
        <v>263</v>
      </c>
      <c r="D71" s="5" t="s">
        <v>264</v>
      </c>
      <c r="E71" s="5" t="s">
        <v>26</v>
      </c>
      <c r="F71" s="5" t="s">
        <v>265</v>
      </c>
    </row>
    <row r="72" spans="1:6" ht="28.35" customHeight="1">
      <c r="A72" s="5" t="s">
        <v>200</v>
      </c>
      <c r="B72" s="5" t="s">
        <v>201</v>
      </c>
      <c r="C72" s="5" t="s">
        <v>266</v>
      </c>
      <c r="D72" s="5" t="s">
        <v>267</v>
      </c>
      <c r="E72" s="5" t="s">
        <v>26</v>
      </c>
      <c r="F72" s="5" t="s">
        <v>268</v>
      </c>
    </row>
    <row r="73" spans="1:6" ht="28.35" customHeight="1">
      <c r="A73" s="5" t="s">
        <v>200</v>
      </c>
      <c r="B73" s="5" t="s">
        <v>201</v>
      </c>
      <c r="C73" s="5" t="s">
        <v>269</v>
      </c>
      <c r="D73" s="5" t="s">
        <v>270</v>
      </c>
      <c r="E73" s="5" t="s">
        <v>26</v>
      </c>
      <c r="F73" s="5" t="s">
        <v>244</v>
      </c>
    </row>
    <row r="74" spans="1:6" ht="28.35" customHeight="1">
      <c r="A74" s="5" t="s">
        <v>200</v>
      </c>
      <c r="B74" s="5" t="s">
        <v>201</v>
      </c>
      <c r="C74" s="5" t="s">
        <v>271</v>
      </c>
      <c r="D74" s="5" t="s">
        <v>272</v>
      </c>
      <c r="E74" s="5" t="s">
        <v>26</v>
      </c>
      <c r="F74" s="5" t="s">
        <v>273</v>
      </c>
    </row>
    <row r="75" spans="1:6" ht="28.35" customHeight="1">
      <c r="A75" s="5" t="s">
        <v>200</v>
      </c>
      <c r="B75" s="5" t="s">
        <v>201</v>
      </c>
      <c r="C75" s="5" t="s">
        <v>274</v>
      </c>
      <c r="D75" s="5" t="s">
        <v>275</v>
      </c>
      <c r="E75" s="5" t="s">
        <v>26</v>
      </c>
      <c r="F75" s="5" t="s">
        <v>276</v>
      </c>
    </row>
    <row r="76" spans="1:6" ht="28.35" customHeight="1">
      <c r="A76" s="5" t="s">
        <v>200</v>
      </c>
      <c r="B76" s="5" t="s">
        <v>201</v>
      </c>
      <c r="C76" s="5" t="s">
        <v>277</v>
      </c>
      <c r="D76" s="5" t="s">
        <v>278</v>
      </c>
      <c r="E76" s="5" t="s">
        <v>26</v>
      </c>
      <c r="F76" s="5" t="s">
        <v>279</v>
      </c>
    </row>
    <row r="77" spans="1:6" ht="28.35" customHeight="1">
      <c r="A77" s="5" t="s">
        <v>200</v>
      </c>
      <c r="B77" s="5" t="s">
        <v>201</v>
      </c>
      <c r="C77" s="5" t="s">
        <v>280</v>
      </c>
      <c r="D77" s="5" t="s">
        <v>281</v>
      </c>
      <c r="E77" s="5" t="s">
        <v>26</v>
      </c>
      <c r="F77" s="5" t="s">
        <v>282</v>
      </c>
    </row>
    <row r="78" spans="1:6" ht="28.35" customHeight="1">
      <c r="A78" s="5" t="s">
        <v>200</v>
      </c>
      <c r="B78" s="5" t="s">
        <v>201</v>
      </c>
      <c r="C78" s="5" t="s">
        <v>283</v>
      </c>
      <c r="D78" s="5" t="s">
        <v>284</v>
      </c>
      <c r="E78" s="5" t="s">
        <v>26</v>
      </c>
      <c r="F78" s="5" t="s">
        <v>285</v>
      </c>
    </row>
    <row r="79" spans="1:6" ht="28.35" customHeight="1">
      <c r="A79" s="5" t="s">
        <v>200</v>
      </c>
      <c r="B79" s="5" t="s">
        <v>201</v>
      </c>
      <c r="C79" s="5" t="s">
        <v>286</v>
      </c>
      <c r="D79" s="5" t="s">
        <v>287</v>
      </c>
      <c r="E79" s="5" t="s">
        <v>207</v>
      </c>
      <c r="F79" s="5" t="s">
        <v>288</v>
      </c>
    </row>
    <row r="80" spans="1:6" ht="28.35" customHeight="1">
      <c r="A80" s="5" t="s">
        <v>200</v>
      </c>
      <c r="B80" s="5" t="s">
        <v>201</v>
      </c>
      <c r="C80" s="5" t="s">
        <v>289</v>
      </c>
      <c r="D80" s="5" t="s">
        <v>290</v>
      </c>
      <c r="E80" s="5" t="s">
        <v>207</v>
      </c>
      <c r="F80" s="5" t="s">
        <v>291</v>
      </c>
    </row>
    <row r="81" spans="1:6" ht="28.35" customHeight="1">
      <c r="A81" s="5" t="s">
        <v>200</v>
      </c>
      <c r="B81" s="5" t="s">
        <v>201</v>
      </c>
      <c r="C81" s="5" t="s">
        <v>292</v>
      </c>
      <c r="D81" s="5" t="s">
        <v>293</v>
      </c>
      <c r="E81" s="5" t="s">
        <v>207</v>
      </c>
      <c r="F81" s="5" t="s">
        <v>294</v>
      </c>
    </row>
    <row r="82" spans="1:6" ht="28.35" customHeight="1">
      <c r="A82" s="5" t="s">
        <v>200</v>
      </c>
      <c r="B82" s="5" t="s">
        <v>201</v>
      </c>
      <c r="C82" s="5" t="s">
        <v>295</v>
      </c>
      <c r="D82" s="5" t="s">
        <v>296</v>
      </c>
      <c r="E82" s="5" t="s">
        <v>207</v>
      </c>
      <c r="F82" s="5" t="s">
        <v>297</v>
      </c>
    </row>
    <row r="83" spans="1:6" ht="28.35" customHeight="1">
      <c r="A83" s="5" t="s">
        <v>200</v>
      </c>
      <c r="B83" s="5" t="s">
        <v>201</v>
      </c>
      <c r="C83" s="5" t="s">
        <v>298</v>
      </c>
      <c r="D83" s="5" t="s">
        <v>299</v>
      </c>
      <c r="E83" s="5" t="s">
        <v>207</v>
      </c>
      <c r="F83" s="5" t="s">
        <v>93</v>
      </c>
    </row>
    <row r="84" spans="1:6" ht="28.35" customHeight="1">
      <c r="A84" s="5" t="s">
        <v>200</v>
      </c>
      <c r="B84" s="5" t="s">
        <v>201</v>
      </c>
      <c r="C84" s="5" t="s">
        <v>300</v>
      </c>
      <c r="D84" s="5" t="s">
        <v>301</v>
      </c>
      <c r="E84" s="5" t="s">
        <v>207</v>
      </c>
      <c r="F84" s="5" t="s">
        <v>302</v>
      </c>
    </row>
    <row r="85" spans="1:6" ht="28.35" customHeight="1">
      <c r="A85" s="5" t="s">
        <v>200</v>
      </c>
      <c r="B85" s="5" t="s">
        <v>201</v>
      </c>
      <c r="C85" s="5" t="s">
        <v>303</v>
      </c>
      <c r="D85" s="5" t="s">
        <v>304</v>
      </c>
      <c r="E85" s="5" t="s">
        <v>207</v>
      </c>
      <c r="F85" s="5" t="s">
        <v>305</v>
      </c>
    </row>
    <row r="86" spans="1:6" ht="28.35" customHeight="1">
      <c r="A86" s="5" t="s">
        <v>200</v>
      </c>
      <c r="B86" s="5" t="s">
        <v>201</v>
      </c>
      <c r="C86" s="5" t="s">
        <v>306</v>
      </c>
      <c r="D86" s="5" t="s">
        <v>307</v>
      </c>
      <c r="E86" s="5" t="s">
        <v>207</v>
      </c>
      <c r="F86" s="5" t="s">
        <v>308</v>
      </c>
    </row>
    <row r="87" spans="1:6" ht="28.35" customHeight="1">
      <c r="A87" s="5" t="s">
        <v>200</v>
      </c>
      <c r="B87" s="5" t="s">
        <v>201</v>
      </c>
      <c r="C87" s="5" t="s">
        <v>309</v>
      </c>
      <c r="D87" s="5" t="s">
        <v>310</v>
      </c>
      <c r="E87" s="5" t="s">
        <v>207</v>
      </c>
      <c r="F87" s="5" t="s">
        <v>311</v>
      </c>
    </row>
    <row r="88" spans="1:6" ht="28.35" customHeight="1">
      <c r="A88" s="5" t="s">
        <v>200</v>
      </c>
      <c r="B88" s="5" t="s">
        <v>201</v>
      </c>
      <c r="C88" s="5" t="s">
        <v>312</v>
      </c>
      <c r="D88" s="5" t="s">
        <v>313</v>
      </c>
      <c r="E88" s="5" t="s">
        <v>207</v>
      </c>
      <c r="F88" s="5" t="s">
        <v>314</v>
      </c>
    </row>
    <row r="89" spans="1:6" ht="28.35" customHeight="1">
      <c r="A89" s="5" t="s">
        <v>200</v>
      </c>
      <c r="B89" s="5" t="s">
        <v>201</v>
      </c>
      <c r="C89" s="5" t="s">
        <v>315</v>
      </c>
      <c r="D89" s="5" t="s">
        <v>316</v>
      </c>
      <c r="E89" s="5" t="s">
        <v>207</v>
      </c>
      <c r="F89" s="5" t="s">
        <v>317</v>
      </c>
    </row>
    <row r="90" spans="1:6" ht="28.35" customHeight="1">
      <c r="A90" s="5" t="s">
        <v>200</v>
      </c>
      <c r="B90" s="5" t="s">
        <v>201</v>
      </c>
      <c r="C90" s="5" t="s">
        <v>318</v>
      </c>
      <c r="D90" s="5" t="s">
        <v>319</v>
      </c>
      <c r="E90" s="5" t="s">
        <v>207</v>
      </c>
      <c r="F90" s="5" t="s">
        <v>320</v>
      </c>
    </row>
    <row r="91" spans="1:6" ht="28.35" customHeight="1">
      <c r="A91" s="5" t="s">
        <v>200</v>
      </c>
      <c r="B91" s="5" t="s">
        <v>201</v>
      </c>
      <c r="C91" s="5" t="s">
        <v>321</v>
      </c>
      <c r="D91" s="5" t="s">
        <v>322</v>
      </c>
      <c r="E91" s="5" t="s">
        <v>207</v>
      </c>
      <c r="F91" s="5" t="s">
        <v>323</v>
      </c>
    </row>
    <row r="92" spans="1:6" ht="28.35" customHeight="1">
      <c r="A92" s="5" t="s">
        <v>200</v>
      </c>
      <c r="B92" s="5" t="s">
        <v>201</v>
      </c>
      <c r="C92" s="5" t="s">
        <v>324</v>
      </c>
      <c r="D92" s="5" t="s">
        <v>325</v>
      </c>
      <c r="E92" s="5" t="s">
        <v>207</v>
      </c>
      <c r="F92" s="5" t="s">
        <v>90</v>
      </c>
    </row>
    <row r="93" spans="1:6" ht="28.35" customHeight="1">
      <c r="A93" s="5" t="s">
        <v>200</v>
      </c>
      <c r="B93" s="5" t="s">
        <v>201</v>
      </c>
      <c r="C93" s="5" t="s">
        <v>326</v>
      </c>
      <c r="D93" s="5" t="s">
        <v>327</v>
      </c>
      <c r="E93" s="5" t="s">
        <v>207</v>
      </c>
      <c r="F93" s="5" t="s">
        <v>328</v>
      </c>
    </row>
    <row r="94" spans="1:6" ht="28.35" customHeight="1">
      <c r="A94" s="5" t="s">
        <v>200</v>
      </c>
      <c r="B94" s="5" t="s">
        <v>201</v>
      </c>
      <c r="C94" s="5" t="s">
        <v>329</v>
      </c>
      <c r="D94" s="5" t="s">
        <v>330</v>
      </c>
      <c r="E94" s="5" t="s">
        <v>207</v>
      </c>
      <c r="F94" s="5" t="s">
        <v>331</v>
      </c>
    </row>
    <row r="95" spans="1:6" ht="28.35" customHeight="1">
      <c r="A95" s="5" t="s">
        <v>200</v>
      </c>
      <c r="B95" s="5" t="s">
        <v>201</v>
      </c>
      <c r="C95" s="5" t="s">
        <v>332</v>
      </c>
      <c r="D95" s="5" t="s">
        <v>333</v>
      </c>
      <c r="E95" s="5" t="s">
        <v>207</v>
      </c>
      <c r="F95" s="5" t="s">
        <v>334</v>
      </c>
    </row>
    <row r="96" spans="1:6" ht="28.35" customHeight="1">
      <c r="A96" s="5" t="s">
        <v>200</v>
      </c>
      <c r="B96" s="5" t="s">
        <v>201</v>
      </c>
      <c r="C96" s="5" t="s">
        <v>335</v>
      </c>
      <c r="D96" s="5" t="s">
        <v>336</v>
      </c>
      <c r="E96" s="5" t="s">
        <v>207</v>
      </c>
      <c r="F96" s="5" t="s">
        <v>337</v>
      </c>
    </row>
    <row r="97" spans="1:6" ht="28.35" customHeight="1">
      <c r="A97" s="5" t="s">
        <v>200</v>
      </c>
      <c r="B97" s="5" t="s">
        <v>201</v>
      </c>
      <c r="C97" s="5" t="s">
        <v>338</v>
      </c>
      <c r="D97" s="5" t="s">
        <v>339</v>
      </c>
      <c r="E97" s="5" t="s">
        <v>207</v>
      </c>
      <c r="F97" s="5" t="s">
        <v>340</v>
      </c>
    </row>
    <row r="98" spans="1:6" ht="28.35" customHeight="1">
      <c r="A98" s="5" t="s">
        <v>200</v>
      </c>
      <c r="B98" s="5" t="s">
        <v>201</v>
      </c>
      <c r="C98" s="5" t="s">
        <v>341</v>
      </c>
      <c r="D98" s="5" t="s">
        <v>342</v>
      </c>
      <c r="E98" s="5" t="s">
        <v>207</v>
      </c>
      <c r="F98" s="5" t="s">
        <v>343</v>
      </c>
    </row>
    <row r="99" spans="1:6" ht="28.35" customHeight="1">
      <c r="A99" s="5" t="s">
        <v>200</v>
      </c>
      <c r="B99" s="5" t="s">
        <v>201</v>
      </c>
      <c r="C99" s="5" t="s">
        <v>344</v>
      </c>
      <c r="D99" s="5" t="s">
        <v>345</v>
      </c>
      <c r="E99" s="5" t="s">
        <v>207</v>
      </c>
      <c r="F99" s="5" t="s">
        <v>346</v>
      </c>
    </row>
    <row r="100" spans="1:6" ht="28.35" customHeight="1">
      <c r="A100" s="5" t="s">
        <v>200</v>
      </c>
      <c r="B100" s="5" t="s">
        <v>201</v>
      </c>
      <c r="C100" s="5" t="s">
        <v>347</v>
      </c>
      <c r="D100" s="5" t="s">
        <v>348</v>
      </c>
      <c r="E100" s="5" t="s">
        <v>207</v>
      </c>
      <c r="F100" s="5" t="s">
        <v>349</v>
      </c>
    </row>
    <row r="101" spans="1:6" ht="28.35" customHeight="1">
      <c r="A101" s="5" t="s">
        <v>200</v>
      </c>
      <c r="B101" s="5" t="s">
        <v>201</v>
      </c>
      <c r="C101" s="5" t="s">
        <v>350</v>
      </c>
      <c r="D101" s="5" t="s">
        <v>351</v>
      </c>
      <c r="E101" s="5" t="s">
        <v>207</v>
      </c>
      <c r="F101" s="5" t="s">
        <v>302</v>
      </c>
    </row>
    <row r="102" spans="1:6" ht="28.35" customHeight="1">
      <c r="A102" s="5" t="s">
        <v>200</v>
      </c>
      <c r="B102" s="5" t="s">
        <v>201</v>
      </c>
      <c r="C102" s="5" t="s">
        <v>352</v>
      </c>
      <c r="D102" s="5" t="s">
        <v>353</v>
      </c>
      <c r="E102" s="5" t="s">
        <v>207</v>
      </c>
      <c r="F102" s="5" t="s">
        <v>354</v>
      </c>
    </row>
    <row r="103" spans="1:6" ht="28.35" customHeight="1">
      <c r="A103" s="5" t="s">
        <v>200</v>
      </c>
      <c r="B103" s="5" t="s">
        <v>201</v>
      </c>
      <c r="C103" s="5" t="s">
        <v>355</v>
      </c>
      <c r="D103" s="5" t="s">
        <v>356</v>
      </c>
      <c r="E103" s="5" t="s">
        <v>207</v>
      </c>
      <c r="F103" s="5" t="s">
        <v>357</v>
      </c>
    </row>
    <row r="104" spans="1:6" ht="28.35" customHeight="1">
      <c r="A104" s="5" t="s">
        <v>200</v>
      </c>
      <c r="B104" s="5" t="s">
        <v>201</v>
      </c>
      <c r="C104" s="5" t="s">
        <v>358</v>
      </c>
      <c r="D104" s="5" t="s">
        <v>359</v>
      </c>
      <c r="E104" s="5" t="s">
        <v>207</v>
      </c>
      <c r="F104" s="5" t="s">
        <v>360</v>
      </c>
    </row>
    <row r="105" spans="1:6" ht="28.35" customHeight="1">
      <c r="A105" s="5" t="s">
        <v>200</v>
      </c>
      <c r="B105" s="5" t="s">
        <v>201</v>
      </c>
      <c r="C105" s="5" t="s">
        <v>361</v>
      </c>
      <c r="D105" s="5" t="s">
        <v>362</v>
      </c>
      <c r="E105" s="5" t="s">
        <v>207</v>
      </c>
      <c r="F105" s="5" t="s">
        <v>363</v>
      </c>
    </row>
    <row r="106" spans="1:6" ht="28.35" customHeight="1">
      <c r="A106" s="5" t="s">
        <v>200</v>
      </c>
      <c r="B106" s="5" t="s">
        <v>201</v>
      </c>
      <c r="C106" s="5" t="s">
        <v>364</v>
      </c>
      <c r="D106" s="5" t="s">
        <v>365</v>
      </c>
      <c r="E106" s="5" t="s">
        <v>207</v>
      </c>
      <c r="F106" s="5" t="s">
        <v>366</v>
      </c>
    </row>
    <row r="107" spans="1:6" ht="28.35" customHeight="1">
      <c r="A107" s="5" t="s">
        <v>200</v>
      </c>
      <c r="B107" s="5" t="s">
        <v>201</v>
      </c>
      <c r="C107" s="5" t="s">
        <v>367</v>
      </c>
      <c r="D107" s="5" t="s">
        <v>368</v>
      </c>
      <c r="E107" s="5" t="s">
        <v>207</v>
      </c>
      <c r="F107" s="5" t="s">
        <v>369</v>
      </c>
    </row>
    <row r="108" spans="1:6" ht="28.35" customHeight="1">
      <c r="A108" s="5" t="s">
        <v>200</v>
      </c>
      <c r="B108" s="5" t="s">
        <v>201</v>
      </c>
      <c r="C108" s="5" t="s">
        <v>370</v>
      </c>
      <c r="D108" s="5" t="s">
        <v>371</v>
      </c>
      <c r="E108" s="5" t="s">
        <v>207</v>
      </c>
      <c r="F108" s="5" t="s">
        <v>372</v>
      </c>
    </row>
    <row r="109" spans="1:6" ht="28.35" customHeight="1">
      <c r="A109" s="5" t="s">
        <v>200</v>
      </c>
      <c r="B109" s="5" t="s">
        <v>201</v>
      </c>
      <c r="C109" s="5" t="s">
        <v>373</v>
      </c>
      <c r="D109" s="5" t="s">
        <v>374</v>
      </c>
      <c r="E109" s="5" t="s">
        <v>207</v>
      </c>
      <c r="F109" s="5" t="s">
        <v>328</v>
      </c>
    </row>
    <row r="110" spans="1:6" ht="28.35" customHeight="1">
      <c r="A110" s="5" t="s">
        <v>200</v>
      </c>
      <c r="B110" s="5" t="s">
        <v>201</v>
      </c>
      <c r="C110" s="5" t="s">
        <v>375</v>
      </c>
      <c r="D110" s="5" t="s">
        <v>376</v>
      </c>
      <c r="E110" s="5" t="s">
        <v>207</v>
      </c>
      <c r="F110" s="5" t="s">
        <v>354</v>
      </c>
    </row>
    <row r="111" spans="1:6" ht="28.35" customHeight="1">
      <c r="A111" s="5" t="s">
        <v>200</v>
      </c>
      <c r="B111" s="5" t="s">
        <v>201</v>
      </c>
      <c r="C111" s="5" t="s">
        <v>377</v>
      </c>
      <c r="D111" s="5" t="s">
        <v>378</v>
      </c>
      <c r="E111" s="5" t="s">
        <v>207</v>
      </c>
      <c r="F111" s="5" t="s">
        <v>379</v>
      </c>
    </row>
    <row r="112" spans="1:6" ht="28.35" customHeight="1">
      <c r="A112" s="5" t="s">
        <v>200</v>
      </c>
      <c r="B112" s="5" t="s">
        <v>201</v>
      </c>
      <c r="C112" s="5" t="s">
        <v>380</v>
      </c>
      <c r="D112" s="5" t="s">
        <v>381</v>
      </c>
      <c r="E112" s="5" t="s">
        <v>207</v>
      </c>
      <c r="F112" s="5" t="s">
        <v>382</v>
      </c>
    </row>
    <row r="113" spans="1:6" ht="28.35" customHeight="1">
      <c r="A113" s="5" t="s">
        <v>200</v>
      </c>
      <c r="B113" s="5" t="s">
        <v>201</v>
      </c>
      <c r="C113" s="5" t="s">
        <v>383</v>
      </c>
      <c r="D113" s="5" t="s">
        <v>384</v>
      </c>
      <c r="E113" s="5" t="s">
        <v>207</v>
      </c>
      <c r="F113" s="5" t="s">
        <v>385</v>
      </c>
    </row>
    <row r="114" spans="1:6" ht="28.35" customHeight="1">
      <c r="A114" s="5" t="s">
        <v>200</v>
      </c>
      <c r="B114" s="5" t="s">
        <v>201</v>
      </c>
      <c r="C114" s="5" t="s">
        <v>386</v>
      </c>
      <c r="D114" s="5" t="s">
        <v>387</v>
      </c>
      <c r="E114" s="5" t="s">
        <v>388</v>
      </c>
      <c r="F114" s="5" t="s">
        <v>372</v>
      </c>
    </row>
    <row r="115" spans="1:6" ht="28.35" customHeight="1">
      <c r="A115" s="5" t="s">
        <v>200</v>
      </c>
      <c r="B115" s="5" t="s">
        <v>201</v>
      </c>
      <c r="C115" s="5" t="s">
        <v>389</v>
      </c>
      <c r="D115" s="5" t="s">
        <v>390</v>
      </c>
      <c r="E115" s="5" t="s">
        <v>388</v>
      </c>
      <c r="F115" s="5" t="s">
        <v>328</v>
      </c>
    </row>
    <row r="116" spans="1:6" ht="28.35" customHeight="1">
      <c r="A116" s="5" t="s">
        <v>200</v>
      </c>
      <c r="B116" s="5" t="s">
        <v>201</v>
      </c>
      <c r="C116" s="5" t="s">
        <v>391</v>
      </c>
      <c r="D116" s="5" t="s">
        <v>392</v>
      </c>
      <c r="E116" s="5" t="s">
        <v>388</v>
      </c>
      <c r="F116" s="5" t="s">
        <v>354</v>
      </c>
    </row>
    <row r="117" spans="1:6" ht="28.35" customHeight="1">
      <c r="A117" s="5" t="s">
        <v>200</v>
      </c>
      <c r="B117" s="5" t="s">
        <v>201</v>
      </c>
      <c r="C117" s="5" t="s">
        <v>393</v>
      </c>
      <c r="D117" s="5" t="s">
        <v>394</v>
      </c>
      <c r="E117" s="5" t="s">
        <v>207</v>
      </c>
      <c r="F117" s="5" t="s">
        <v>395</v>
      </c>
    </row>
    <row r="118" spans="1:6" ht="28.35" customHeight="1">
      <c r="A118" s="5" t="s">
        <v>200</v>
      </c>
      <c r="B118" s="5" t="s">
        <v>201</v>
      </c>
      <c r="C118" s="5" t="s">
        <v>396</v>
      </c>
      <c r="D118" s="5" t="s">
        <v>397</v>
      </c>
      <c r="E118" s="5" t="s">
        <v>207</v>
      </c>
      <c r="F118" s="5" t="s">
        <v>398</v>
      </c>
    </row>
    <row r="119" spans="1:6" ht="28.35" customHeight="1">
      <c r="A119" s="5" t="s">
        <v>200</v>
      </c>
      <c r="B119" s="5" t="s">
        <v>201</v>
      </c>
      <c r="C119" s="5" t="s">
        <v>399</v>
      </c>
      <c r="D119" s="5" t="s">
        <v>400</v>
      </c>
      <c r="E119" s="5" t="s">
        <v>207</v>
      </c>
      <c r="F119" s="5" t="s">
        <v>93</v>
      </c>
    </row>
    <row r="120" spans="1:6" ht="28.35" customHeight="1">
      <c r="A120" s="5" t="s">
        <v>200</v>
      </c>
      <c r="B120" s="5" t="s">
        <v>201</v>
      </c>
      <c r="C120" s="5" t="s">
        <v>401</v>
      </c>
      <c r="D120" s="5" t="s">
        <v>402</v>
      </c>
      <c r="E120" s="5" t="s">
        <v>207</v>
      </c>
      <c r="F120" s="5" t="s">
        <v>403</v>
      </c>
    </row>
    <row r="121" spans="1:6" ht="28.35" customHeight="1">
      <c r="A121" s="5" t="s">
        <v>200</v>
      </c>
      <c r="B121" s="5" t="s">
        <v>201</v>
      </c>
      <c r="C121" s="5" t="s">
        <v>404</v>
      </c>
      <c r="D121" s="5" t="s">
        <v>405</v>
      </c>
      <c r="E121" s="5" t="s">
        <v>207</v>
      </c>
      <c r="F121" s="5" t="s">
        <v>406</v>
      </c>
    </row>
    <row r="122" spans="1:6" ht="28.35" customHeight="1">
      <c r="A122" s="5" t="s">
        <v>200</v>
      </c>
      <c r="B122" s="5" t="s">
        <v>201</v>
      </c>
      <c r="C122" s="5" t="s">
        <v>407</v>
      </c>
      <c r="D122" s="5" t="s">
        <v>408</v>
      </c>
      <c r="E122" s="5" t="s">
        <v>207</v>
      </c>
      <c r="F122" s="5" t="s">
        <v>409</v>
      </c>
    </row>
    <row r="123" spans="1:6" ht="28.35" customHeight="1">
      <c r="A123" s="5" t="s">
        <v>200</v>
      </c>
      <c r="B123" s="5" t="s">
        <v>201</v>
      </c>
      <c r="C123" s="5" t="s">
        <v>410</v>
      </c>
      <c r="D123" s="5" t="s">
        <v>411</v>
      </c>
      <c r="E123" s="5" t="s">
        <v>207</v>
      </c>
      <c r="F123" s="5" t="s">
        <v>412</v>
      </c>
    </row>
    <row r="124" spans="1:6" ht="28.35" customHeight="1">
      <c r="A124" s="5" t="s">
        <v>200</v>
      </c>
      <c r="B124" s="5" t="s">
        <v>201</v>
      </c>
      <c r="C124" s="5" t="s">
        <v>413</v>
      </c>
      <c r="D124" s="5" t="s">
        <v>414</v>
      </c>
      <c r="E124" s="5" t="s">
        <v>207</v>
      </c>
      <c r="F124" s="5" t="s">
        <v>415</v>
      </c>
    </row>
    <row r="125" spans="1:6" ht="28.35" customHeight="1">
      <c r="A125" s="5" t="s">
        <v>200</v>
      </c>
      <c r="B125" s="5" t="s">
        <v>201</v>
      </c>
      <c r="C125" s="5" t="s">
        <v>416</v>
      </c>
      <c r="D125" s="5" t="s">
        <v>417</v>
      </c>
      <c r="E125" s="5" t="s">
        <v>207</v>
      </c>
      <c r="F125" s="5" t="s">
        <v>418</v>
      </c>
    </row>
    <row r="126" spans="1:6" ht="28.35" customHeight="1">
      <c r="A126" s="5" t="s">
        <v>200</v>
      </c>
      <c r="B126" s="5" t="s">
        <v>201</v>
      </c>
      <c r="C126" s="5" t="s">
        <v>419</v>
      </c>
      <c r="D126" s="5" t="s">
        <v>420</v>
      </c>
      <c r="E126" s="5" t="s">
        <v>26</v>
      </c>
      <c r="F126" s="5" t="s">
        <v>421</v>
      </c>
    </row>
    <row r="127" spans="1:6" ht="28.35" customHeight="1">
      <c r="A127" s="5" t="s">
        <v>200</v>
      </c>
      <c r="B127" s="5" t="s">
        <v>201</v>
      </c>
      <c r="C127" s="5" t="s">
        <v>422</v>
      </c>
      <c r="D127" s="5" t="s">
        <v>423</v>
      </c>
      <c r="E127" s="5" t="s">
        <v>26</v>
      </c>
      <c r="F127" s="5" t="s">
        <v>424</v>
      </c>
    </row>
    <row r="128" spans="1:6" ht="28.35" customHeight="1">
      <c r="A128" s="5" t="s">
        <v>200</v>
      </c>
      <c r="B128" s="5" t="s">
        <v>201</v>
      </c>
      <c r="C128" s="5" t="s">
        <v>425</v>
      </c>
      <c r="D128" s="5" t="s">
        <v>426</v>
      </c>
      <c r="E128" s="5" t="s">
        <v>26</v>
      </c>
      <c r="F128" s="5" t="s">
        <v>427</v>
      </c>
    </row>
    <row r="129" spans="1:6" ht="28.35" customHeight="1">
      <c r="A129" s="5" t="s">
        <v>200</v>
      </c>
      <c r="B129" s="5" t="s">
        <v>201</v>
      </c>
      <c r="C129" s="5" t="s">
        <v>428</v>
      </c>
      <c r="D129" s="5" t="s">
        <v>429</v>
      </c>
      <c r="E129" s="5" t="s">
        <v>26</v>
      </c>
      <c r="F129" s="5" t="s">
        <v>199</v>
      </c>
    </row>
    <row r="130" spans="1:6" ht="28.35" customHeight="1">
      <c r="A130" s="5" t="s">
        <v>200</v>
      </c>
      <c r="B130" s="5" t="s">
        <v>201</v>
      </c>
      <c r="C130" s="5" t="s">
        <v>430</v>
      </c>
      <c r="D130" s="5" t="s">
        <v>431</v>
      </c>
      <c r="E130" s="5" t="s">
        <v>26</v>
      </c>
      <c r="F130" s="5" t="s">
        <v>432</v>
      </c>
    </row>
    <row r="131" spans="1:6" ht="28.35" customHeight="1">
      <c r="A131" s="5" t="s">
        <v>200</v>
      </c>
      <c r="B131" s="5" t="s">
        <v>201</v>
      </c>
      <c r="C131" s="5" t="s">
        <v>433</v>
      </c>
      <c r="D131" s="5" t="s">
        <v>434</v>
      </c>
      <c r="E131" s="5" t="s">
        <v>26</v>
      </c>
      <c r="F131" s="5" t="s">
        <v>435</v>
      </c>
    </row>
    <row r="132" spans="1:6" ht="28.35" customHeight="1">
      <c r="A132" s="5" t="s">
        <v>200</v>
      </c>
      <c r="B132" s="5" t="s">
        <v>201</v>
      </c>
      <c r="C132" s="5" t="s">
        <v>436</v>
      </c>
      <c r="D132" s="5" t="s">
        <v>437</v>
      </c>
      <c r="E132" s="5" t="s">
        <v>26</v>
      </c>
      <c r="F132" s="5" t="s">
        <v>438</v>
      </c>
    </row>
    <row r="133" spans="1:6" ht="28.35" customHeight="1">
      <c r="A133" s="5" t="s">
        <v>200</v>
      </c>
      <c r="B133" s="5" t="s">
        <v>201</v>
      </c>
      <c r="C133" s="5" t="s">
        <v>439</v>
      </c>
      <c r="D133" s="5" t="s">
        <v>440</v>
      </c>
      <c r="E133" s="5" t="s">
        <v>26</v>
      </c>
      <c r="F133" s="5" t="s">
        <v>441</v>
      </c>
    </row>
    <row r="134" spans="1:6" ht="28.35" customHeight="1">
      <c r="A134" s="5" t="s">
        <v>200</v>
      </c>
      <c r="B134" s="5" t="s">
        <v>201</v>
      </c>
      <c r="C134" s="5" t="s">
        <v>442</v>
      </c>
      <c r="D134" s="5" t="s">
        <v>443</v>
      </c>
      <c r="E134" s="5" t="s">
        <v>26</v>
      </c>
      <c r="F134" s="5" t="s">
        <v>444</v>
      </c>
    </row>
    <row r="135" spans="1:6" ht="28.35" customHeight="1">
      <c r="A135" s="5" t="s">
        <v>200</v>
      </c>
      <c r="B135" s="5" t="s">
        <v>201</v>
      </c>
      <c r="C135" s="5" t="s">
        <v>445</v>
      </c>
      <c r="D135" s="5" t="s">
        <v>446</v>
      </c>
      <c r="E135" s="5" t="s">
        <v>26</v>
      </c>
      <c r="F135" s="5" t="s">
        <v>447</v>
      </c>
    </row>
    <row r="136" spans="1:6" ht="28.35" customHeight="1">
      <c r="A136" s="5" t="s">
        <v>200</v>
      </c>
      <c r="B136" s="5" t="s">
        <v>201</v>
      </c>
      <c r="C136" s="5" t="s">
        <v>448</v>
      </c>
      <c r="D136" s="5" t="s">
        <v>449</v>
      </c>
      <c r="E136" s="5" t="s">
        <v>26</v>
      </c>
      <c r="F136" s="5" t="s">
        <v>450</v>
      </c>
    </row>
    <row r="137" spans="1:6" ht="28.35" customHeight="1">
      <c r="A137" s="5" t="s">
        <v>200</v>
      </c>
      <c r="B137" s="5" t="s">
        <v>201</v>
      </c>
      <c r="C137" s="5" t="s">
        <v>451</v>
      </c>
      <c r="D137" s="5" t="s">
        <v>452</v>
      </c>
      <c r="E137" s="5" t="s">
        <v>26</v>
      </c>
      <c r="F137" s="5" t="s">
        <v>453</v>
      </c>
    </row>
    <row r="138" spans="1:6" ht="28.35" customHeight="1">
      <c r="A138" s="5" t="s">
        <v>200</v>
      </c>
      <c r="B138" s="5" t="s">
        <v>201</v>
      </c>
      <c r="C138" s="5" t="s">
        <v>454</v>
      </c>
      <c r="D138" s="5" t="s">
        <v>455</v>
      </c>
      <c r="E138" s="5" t="s">
        <v>26</v>
      </c>
      <c r="F138" s="5" t="s">
        <v>456</v>
      </c>
    </row>
    <row r="139" spans="1:6" ht="28.35" customHeight="1">
      <c r="A139" s="5" t="s">
        <v>200</v>
      </c>
      <c r="B139" s="5" t="s">
        <v>201</v>
      </c>
      <c r="C139" s="5" t="s">
        <v>457</v>
      </c>
      <c r="D139" s="5" t="s">
        <v>458</v>
      </c>
      <c r="E139" s="5" t="s">
        <v>26</v>
      </c>
      <c r="F139" s="5" t="s">
        <v>459</v>
      </c>
    </row>
    <row r="140" spans="1:6" ht="28.35" customHeight="1">
      <c r="A140" s="5" t="s">
        <v>200</v>
      </c>
      <c r="B140" s="5" t="s">
        <v>201</v>
      </c>
      <c r="C140" s="5" t="s">
        <v>460</v>
      </c>
      <c r="D140" s="5" t="s">
        <v>461</v>
      </c>
      <c r="E140" s="5" t="s">
        <v>26</v>
      </c>
      <c r="F140" s="5" t="s">
        <v>462</v>
      </c>
    </row>
    <row r="141" spans="1:6" ht="28.35" customHeight="1">
      <c r="A141" s="5" t="s">
        <v>200</v>
      </c>
      <c r="B141" s="5" t="s">
        <v>201</v>
      </c>
      <c r="C141" s="5" t="s">
        <v>463</v>
      </c>
      <c r="D141" s="5" t="s">
        <v>464</v>
      </c>
      <c r="E141" s="5" t="s">
        <v>26</v>
      </c>
      <c r="F141" s="5" t="s">
        <v>465</v>
      </c>
    </row>
    <row r="142" spans="1:6" ht="28.35" customHeight="1">
      <c r="A142" s="5" t="s">
        <v>200</v>
      </c>
      <c r="B142" s="5" t="s">
        <v>201</v>
      </c>
      <c r="C142" s="5" t="s">
        <v>466</v>
      </c>
      <c r="D142" s="5" t="s">
        <v>467</v>
      </c>
      <c r="E142" s="5" t="s">
        <v>26</v>
      </c>
      <c r="F142" s="5" t="s">
        <v>468</v>
      </c>
    </row>
    <row r="143" spans="1:6" ht="28.35" customHeight="1">
      <c r="A143" s="5" t="s">
        <v>200</v>
      </c>
      <c r="B143" s="5" t="s">
        <v>201</v>
      </c>
      <c r="C143" s="5" t="s">
        <v>469</v>
      </c>
      <c r="D143" s="5" t="s">
        <v>470</v>
      </c>
      <c r="E143" s="5" t="s">
        <v>26</v>
      </c>
      <c r="F143" s="5" t="s">
        <v>471</v>
      </c>
    </row>
    <row r="144" spans="1:6" ht="28.35" customHeight="1">
      <c r="A144" s="5" t="s">
        <v>200</v>
      </c>
      <c r="B144" s="5" t="s">
        <v>201</v>
      </c>
      <c r="C144" s="5" t="s">
        <v>472</v>
      </c>
      <c r="D144" s="5" t="s">
        <v>473</v>
      </c>
      <c r="E144" s="5" t="s">
        <v>26</v>
      </c>
      <c r="F144" s="5" t="s">
        <v>474</v>
      </c>
    </row>
    <row r="145" spans="1:6" ht="28.35" customHeight="1">
      <c r="A145" s="5" t="s">
        <v>200</v>
      </c>
      <c r="B145" s="5" t="s">
        <v>201</v>
      </c>
      <c r="C145" s="5" t="s">
        <v>475</v>
      </c>
      <c r="D145" s="5" t="s">
        <v>476</v>
      </c>
      <c r="E145" s="5" t="s">
        <v>26</v>
      </c>
      <c r="F145" s="5" t="s">
        <v>477</v>
      </c>
    </row>
    <row r="146" spans="1:6" ht="28.35" customHeight="1">
      <c r="A146" s="5" t="s">
        <v>200</v>
      </c>
      <c r="B146" s="5" t="s">
        <v>201</v>
      </c>
      <c r="C146" s="5" t="s">
        <v>478</v>
      </c>
      <c r="D146" s="5" t="s">
        <v>479</v>
      </c>
      <c r="E146" s="5" t="s">
        <v>26</v>
      </c>
      <c r="F146" s="5" t="s">
        <v>480</v>
      </c>
    </row>
    <row r="147" spans="1:6" ht="28.35" customHeight="1">
      <c r="A147" s="5" t="s">
        <v>200</v>
      </c>
      <c r="B147" s="5" t="s">
        <v>201</v>
      </c>
      <c r="C147" s="5" t="s">
        <v>481</v>
      </c>
      <c r="D147" s="5" t="s">
        <v>482</v>
      </c>
      <c r="E147" s="5" t="s">
        <v>26</v>
      </c>
      <c r="F147" s="5" t="s">
        <v>483</v>
      </c>
    </row>
    <row r="148" spans="1:6" ht="28.35" customHeight="1">
      <c r="A148" s="5" t="s">
        <v>484</v>
      </c>
      <c r="B148" s="5" t="s">
        <v>485</v>
      </c>
      <c r="C148" s="5" t="s">
        <v>486</v>
      </c>
      <c r="D148" s="5" t="s">
        <v>487</v>
      </c>
      <c r="E148" s="5" t="s">
        <v>488</v>
      </c>
      <c r="F148" s="5" t="s">
        <v>93</v>
      </c>
    </row>
    <row r="149" spans="1:6" ht="28.35" customHeight="1">
      <c r="A149" s="5" t="s">
        <v>484</v>
      </c>
      <c r="B149" s="5" t="s">
        <v>485</v>
      </c>
      <c r="C149" s="5" t="s">
        <v>489</v>
      </c>
      <c r="D149" s="5" t="s">
        <v>490</v>
      </c>
      <c r="E149" s="5" t="s">
        <v>488</v>
      </c>
      <c r="F149" s="5" t="s">
        <v>491</v>
      </c>
    </row>
    <row r="150" spans="1:6" ht="28.35" customHeight="1">
      <c r="A150" s="5" t="s">
        <v>484</v>
      </c>
      <c r="B150" s="5" t="s">
        <v>485</v>
      </c>
      <c r="C150" s="5" t="s">
        <v>492</v>
      </c>
      <c r="D150" s="5" t="s">
        <v>493</v>
      </c>
      <c r="E150" s="5" t="s">
        <v>488</v>
      </c>
      <c r="F150" s="5" t="s">
        <v>491</v>
      </c>
    </row>
    <row r="151" spans="1:6" ht="28.35" customHeight="1">
      <c r="A151" s="5" t="s">
        <v>484</v>
      </c>
      <c r="B151" s="5" t="s">
        <v>485</v>
      </c>
      <c r="C151" s="5" t="s">
        <v>494</v>
      </c>
      <c r="D151" s="5" t="s">
        <v>495</v>
      </c>
      <c r="E151" s="5" t="s">
        <v>488</v>
      </c>
      <c r="F151" s="5" t="s">
        <v>496</v>
      </c>
    </row>
    <row r="152" spans="1:6" ht="28.35" customHeight="1">
      <c r="A152" s="5" t="s">
        <v>484</v>
      </c>
      <c r="B152" s="5" t="s">
        <v>485</v>
      </c>
      <c r="C152" s="5" t="s">
        <v>497</v>
      </c>
      <c r="D152" s="5" t="s">
        <v>498</v>
      </c>
      <c r="E152" s="5" t="s">
        <v>488</v>
      </c>
      <c r="F152" s="5" t="s">
        <v>496</v>
      </c>
    </row>
    <row r="153" spans="1:6" ht="28.35" customHeight="1">
      <c r="A153" s="5" t="s">
        <v>484</v>
      </c>
      <c r="B153" s="5" t="s">
        <v>485</v>
      </c>
      <c r="C153" s="5" t="s">
        <v>499</v>
      </c>
      <c r="D153" s="5" t="s">
        <v>500</v>
      </c>
      <c r="E153" s="5" t="s">
        <v>488</v>
      </c>
      <c r="F153" s="5" t="s">
        <v>501</v>
      </c>
    </row>
    <row r="154" spans="1:6" ht="28.35" customHeight="1">
      <c r="A154" s="5" t="s">
        <v>484</v>
      </c>
      <c r="B154" s="5" t="s">
        <v>485</v>
      </c>
      <c r="C154" s="5" t="s">
        <v>502</v>
      </c>
      <c r="D154" s="5" t="s">
        <v>503</v>
      </c>
      <c r="E154" s="5" t="s">
        <v>488</v>
      </c>
      <c r="F154" s="5" t="s">
        <v>504</v>
      </c>
    </row>
    <row r="155" spans="1:6" ht="28.35" customHeight="1">
      <c r="A155" s="5" t="s">
        <v>484</v>
      </c>
      <c r="B155" s="5" t="s">
        <v>485</v>
      </c>
      <c r="C155" s="5" t="s">
        <v>505</v>
      </c>
      <c r="D155" s="5" t="s">
        <v>506</v>
      </c>
      <c r="E155" s="5" t="s">
        <v>488</v>
      </c>
      <c r="F155" s="5" t="s">
        <v>507</v>
      </c>
    </row>
    <row r="156" spans="1:6" ht="28.35" customHeight="1">
      <c r="A156" s="5" t="s">
        <v>484</v>
      </c>
      <c r="B156" s="5" t="s">
        <v>485</v>
      </c>
      <c r="C156" s="5" t="s">
        <v>508</v>
      </c>
      <c r="D156" s="5" t="s">
        <v>509</v>
      </c>
      <c r="E156" s="5" t="s">
        <v>488</v>
      </c>
      <c r="F156" s="5" t="s">
        <v>311</v>
      </c>
    </row>
    <row r="157" spans="1:6" ht="28.35" customHeight="1">
      <c r="A157" s="5" t="s">
        <v>484</v>
      </c>
      <c r="B157" s="5" t="s">
        <v>485</v>
      </c>
      <c r="C157" s="5" t="s">
        <v>510</v>
      </c>
      <c r="D157" s="5" t="s">
        <v>511</v>
      </c>
      <c r="E157" s="5" t="s">
        <v>512</v>
      </c>
      <c r="F157" s="5" t="s">
        <v>403</v>
      </c>
    </row>
    <row r="158" spans="1:6" ht="28.35" customHeight="1">
      <c r="A158" s="5" t="s">
        <v>484</v>
      </c>
      <c r="B158" s="5" t="s">
        <v>485</v>
      </c>
      <c r="C158" s="5" t="s">
        <v>513</v>
      </c>
      <c r="D158" s="5" t="s">
        <v>514</v>
      </c>
      <c r="E158" s="5" t="s">
        <v>488</v>
      </c>
      <c r="F158" s="5" t="s">
        <v>515</v>
      </c>
    </row>
    <row r="159" spans="1:6" ht="28.35" customHeight="1">
      <c r="A159" s="5" t="s">
        <v>484</v>
      </c>
      <c r="B159" s="5" t="s">
        <v>485</v>
      </c>
      <c r="C159" s="5" t="s">
        <v>516</v>
      </c>
      <c r="D159" s="5" t="s">
        <v>517</v>
      </c>
      <c r="E159" s="5" t="s">
        <v>488</v>
      </c>
      <c r="F159" s="5" t="s">
        <v>518</v>
      </c>
    </row>
    <row r="160" spans="1:6" ht="28.35" customHeight="1">
      <c r="A160" s="5" t="s">
        <v>484</v>
      </c>
      <c r="B160" s="5" t="s">
        <v>485</v>
      </c>
      <c r="C160" s="5" t="s">
        <v>519</v>
      </c>
      <c r="D160" s="5" t="s">
        <v>520</v>
      </c>
      <c r="E160" s="5" t="s">
        <v>488</v>
      </c>
      <c r="F160" s="5" t="s">
        <v>521</v>
      </c>
    </row>
    <row r="161" spans="1:6" ht="28.35" customHeight="1">
      <c r="A161" s="5" t="s">
        <v>484</v>
      </c>
      <c r="B161" s="5" t="s">
        <v>485</v>
      </c>
      <c r="C161" s="5" t="s">
        <v>522</v>
      </c>
      <c r="D161" s="5" t="s">
        <v>523</v>
      </c>
      <c r="E161" s="5" t="s">
        <v>488</v>
      </c>
      <c r="F161" s="5" t="s">
        <v>524</v>
      </c>
    </row>
    <row r="162" spans="1:6" ht="28.35" customHeight="1">
      <c r="A162" s="5" t="s">
        <v>525</v>
      </c>
      <c r="B162" s="5" t="s">
        <v>526</v>
      </c>
      <c r="C162" s="5" t="s">
        <v>527</v>
      </c>
      <c r="D162" s="5" t="s">
        <v>528</v>
      </c>
      <c r="E162" s="5" t="s">
        <v>488</v>
      </c>
      <c r="F162" s="5" t="s">
        <v>529</v>
      </c>
    </row>
    <row r="163" spans="1:6" ht="28.35" customHeight="1">
      <c r="A163" s="5" t="s">
        <v>525</v>
      </c>
      <c r="B163" s="5" t="s">
        <v>526</v>
      </c>
      <c r="C163" s="5" t="s">
        <v>530</v>
      </c>
      <c r="D163" s="5" t="s">
        <v>531</v>
      </c>
      <c r="E163" s="5" t="s">
        <v>488</v>
      </c>
      <c r="F163" s="5" t="s">
        <v>532</v>
      </c>
    </row>
    <row r="164" spans="1:6" ht="28.35" customHeight="1">
      <c r="A164" s="5" t="s">
        <v>525</v>
      </c>
      <c r="B164" s="5" t="s">
        <v>526</v>
      </c>
      <c r="C164" s="5" t="s">
        <v>533</v>
      </c>
      <c r="D164" s="5" t="s">
        <v>528</v>
      </c>
      <c r="E164" s="5" t="s">
        <v>488</v>
      </c>
      <c r="F164" s="5" t="s">
        <v>534</v>
      </c>
    </row>
    <row r="165" spans="1:6" ht="28.35" customHeight="1">
      <c r="A165" s="5" t="s">
        <v>525</v>
      </c>
      <c r="B165" s="5" t="s">
        <v>526</v>
      </c>
      <c r="C165" s="5" t="s">
        <v>535</v>
      </c>
      <c r="D165" s="5" t="s">
        <v>531</v>
      </c>
      <c r="E165" s="5" t="s">
        <v>488</v>
      </c>
      <c r="F165" s="5" t="s">
        <v>532</v>
      </c>
    </row>
    <row r="166" spans="1:6" ht="28.35" customHeight="1">
      <c r="A166" s="5" t="s">
        <v>525</v>
      </c>
      <c r="B166" s="5" t="s">
        <v>526</v>
      </c>
      <c r="C166" s="5" t="s">
        <v>536</v>
      </c>
      <c r="D166" s="5" t="s">
        <v>537</v>
      </c>
      <c r="E166" s="5" t="s">
        <v>488</v>
      </c>
      <c r="F166" s="5" t="s">
        <v>538</v>
      </c>
    </row>
    <row r="167" spans="1:6" ht="28.35" customHeight="1">
      <c r="A167" s="5" t="s">
        <v>525</v>
      </c>
      <c r="B167" s="5" t="s">
        <v>526</v>
      </c>
      <c r="C167" s="5" t="s">
        <v>539</v>
      </c>
      <c r="D167" s="5" t="s">
        <v>540</v>
      </c>
      <c r="E167" s="5" t="s">
        <v>488</v>
      </c>
      <c r="F167" s="5" t="s">
        <v>541</v>
      </c>
    </row>
    <row r="168" spans="1:6" ht="28.35" customHeight="1">
      <c r="A168" s="5" t="s">
        <v>525</v>
      </c>
      <c r="B168" s="5" t="s">
        <v>526</v>
      </c>
      <c r="C168" s="5" t="s">
        <v>542</v>
      </c>
      <c r="D168" s="5" t="s">
        <v>543</v>
      </c>
      <c r="E168" s="5" t="s">
        <v>488</v>
      </c>
      <c r="F168" s="5" t="s">
        <v>544</v>
      </c>
    </row>
    <row r="169" spans="1:6" ht="28.35" customHeight="1">
      <c r="A169" s="5" t="s">
        <v>525</v>
      </c>
      <c r="B169" s="5" t="s">
        <v>526</v>
      </c>
      <c r="C169" s="5" t="s">
        <v>545</v>
      </c>
      <c r="D169" s="5" t="s">
        <v>546</v>
      </c>
      <c r="E169" s="5" t="s">
        <v>488</v>
      </c>
      <c r="F169" s="5" t="s">
        <v>547</v>
      </c>
    </row>
    <row r="170" spans="1:6" ht="28.35" customHeight="1">
      <c r="A170" s="5" t="s">
        <v>525</v>
      </c>
      <c r="B170" s="5" t="s">
        <v>526</v>
      </c>
      <c r="C170" s="5" t="s">
        <v>548</v>
      </c>
      <c r="D170" s="5" t="s">
        <v>549</v>
      </c>
      <c r="E170" s="5" t="s">
        <v>488</v>
      </c>
      <c r="F170" s="5" t="s">
        <v>550</v>
      </c>
    </row>
    <row r="171" spans="1:6" ht="28.35" customHeight="1">
      <c r="A171" s="5" t="s">
        <v>525</v>
      </c>
      <c r="B171" s="5" t="s">
        <v>526</v>
      </c>
      <c r="C171" s="5" t="s">
        <v>551</v>
      </c>
      <c r="D171" s="5" t="s">
        <v>552</v>
      </c>
      <c r="E171" s="5" t="s">
        <v>488</v>
      </c>
      <c r="F171" s="5" t="s">
        <v>553</v>
      </c>
    </row>
    <row r="172" spans="1:6" ht="28.35" customHeight="1">
      <c r="A172" s="5" t="s">
        <v>554</v>
      </c>
      <c r="B172" s="5" t="s">
        <v>555</v>
      </c>
      <c r="C172" s="5" t="s">
        <v>556</v>
      </c>
      <c r="D172" s="5" t="s">
        <v>557</v>
      </c>
      <c r="E172" s="5" t="s">
        <v>16</v>
      </c>
      <c r="F172" s="5" t="s">
        <v>558</v>
      </c>
    </row>
    <row r="173" spans="1:6" ht="28.35" customHeight="1">
      <c r="A173" s="5" t="s">
        <v>554</v>
      </c>
      <c r="B173" s="5" t="s">
        <v>555</v>
      </c>
      <c r="C173" s="5" t="s">
        <v>559</v>
      </c>
      <c r="D173" s="5" t="s">
        <v>560</v>
      </c>
      <c r="E173" s="5" t="s">
        <v>16</v>
      </c>
      <c r="F173" s="5" t="s">
        <v>561</v>
      </c>
    </row>
    <row r="174" spans="1:6" ht="28.35" customHeight="1">
      <c r="A174" s="5" t="s">
        <v>554</v>
      </c>
      <c r="B174" s="5" t="s">
        <v>555</v>
      </c>
      <c r="C174" s="5" t="s">
        <v>562</v>
      </c>
      <c r="D174" s="5" t="s">
        <v>563</v>
      </c>
      <c r="E174" s="5" t="s">
        <v>16</v>
      </c>
      <c r="F174" s="5" t="s">
        <v>558</v>
      </c>
    </row>
    <row r="175" spans="1:6" ht="28.35" customHeight="1">
      <c r="A175" s="5" t="s">
        <v>554</v>
      </c>
      <c r="B175" s="5" t="s">
        <v>555</v>
      </c>
      <c r="C175" s="5" t="s">
        <v>564</v>
      </c>
      <c r="D175" s="5" t="s">
        <v>565</v>
      </c>
      <c r="E175" s="5" t="s">
        <v>16</v>
      </c>
      <c r="F175" s="5" t="s">
        <v>360</v>
      </c>
    </row>
    <row r="176" spans="1:6" ht="28.35" customHeight="1">
      <c r="A176" s="5" t="s">
        <v>554</v>
      </c>
      <c r="B176" s="5" t="s">
        <v>555</v>
      </c>
      <c r="C176" s="5" t="s">
        <v>566</v>
      </c>
      <c r="D176" s="5" t="s">
        <v>567</v>
      </c>
      <c r="E176" s="5" t="s">
        <v>16</v>
      </c>
      <c r="F176" s="5" t="s">
        <v>360</v>
      </c>
    </row>
    <row r="177" spans="1:6" ht="28.35" customHeight="1">
      <c r="A177" s="5" t="s">
        <v>554</v>
      </c>
      <c r="B177" s="5" t="s">
        <v>555</v>
      </c>
      <c r="C177" s="5" t="s">
        <v>568</v>
      </c>
      <c r="D177" s="5" t="s">
        <v>569</v>
      </c>
      <c r="E177" s="5" t="s">
        <v>16</v>
      </c>
      <c r="F177" s="5" t="s">
        <v>360</v>
      </c>
    </row>
    <row r="178" spans="1:6" ht="28.35" customHeight="1">
      <c r="A178" s="5" t="s">
        <v>554</v>
      </c>
      <c r="B178" s="5" t="s">
        <v>555</v>
      </c>
      <c r="C178" s="5" t="s">
        <v>570</v>
      </c>
      <c r="D178" s="5" t="s">
        <v>571</v>
      </c>
      <c r="E178" s="5" t="s">
        <v>16</v>
      </c>
      <c r="F178" s="5" t="s">
        <v>360</v>
      </c>
    </row>
    <row r="179" spans="1:6" ht="28.35" customHeight="1">
      <c r="A179" s="5" t="s">
        <v>554</v>
      </c>
      <c r="B179" s="5" t="s">
        <v>555</v>
      </c>
      <c r="C179" s="5" t="s">
        <v>572</v>
      </c>
      <c r="D179" s="5" t="s">
        <v>573</v>
      </c>
      <c r="E179" s="5" t="s">
        <v>16</v>
      </c>
      <c r="F179" s="5" t="s">
        <v>504</v>
      </c>
    </row>
    <row r="180" spans="1:6" ht="28.35" customHeight="1">
      <c r="A180" s="5" t="s">
        <v>554</v>
      </c>
      <c r="B180" s="5" t="s">
        <v>555</v>
      </c>
      <c r="C180" s="5" t="s">
        <v>574</v>
      </c>
      <c r="D180" s="5" t="s">
        <v>575</v>
      </c>
      <c r="E180" s="5" t="s">
        <v>16</v>
      </c>
      <c r="F180" s="5" t="s">
        <v>576</v>
      </c>
    </row>
    <row r="181" spans="1:6" ht="28.35" customHeight="1">
      <c r="A181" s="5" t="s">
        <v>577</v>
      </c>
      <c r="B181" s="5" t="s">
        <v>578</v>
      </c>
      <c r="C181" s="5" t="s">
        <v>579</v>
      </c>
      <c r="D181" s="5" t="s">
        <v>580</v>
      </c>
      <c r="E181" s="5" t="s">
        <v>581</v>
      </c>
      <c r="F181" s="5" t="s">
        <v>582</v>
      </c>
    </row>
    <row r="182" spans="1:6" ht="28.35" customHeight="1">
      <c r="A182" s="5" t="s">
        <v>577</v>
      </c>
      <c r="B182" s="5" t="s">
        <v>578</v>
      </c>
      <c r="C182" s="5" t="s">
        <v>583</v>
      </c>
      <c r="D182" s="5" t="s">
        <v>584</v>
      </c>
      <c r="E182" s="5" t="s">
        <v>581</v>
      </c>
      <c r="F182" s="5" t="s">
        <v>582</v>
      </c>
    </row>
    <row r="183" spans="1:6" ht="28.35" customHeight="1">
      <c r="A183" s="5" t="s">
        <v>577</v>
      </c>
      <c r="B183" s="5" t="s">
        <v>578</v>
      </c>
      <c r="C183" s="5" t="s">
        <v>585</v>
      </c>
      <c r="D183" s="5" t="s">
        <v>586</v>
      </c>
      <c r="E183" s="5" t="s">
        <v>581</v>
      </c>
      <c r="F183" s="5" t="s">
        <v>582</v>
      </c>
    </row>
    <row r="184" spans="1:6" ht="28.35" customHeight="1">
      <c r="A184" s="5" t="s">
        <v>577</v>
      </c>
      <c r="B184" s="5" t="s">
        <v>578</v>
      </c>
      <c r="C184" s="5" t="s">
        <v>587</v>
      </c>
      <c r="D184" s="5" t="s">
        <v>588</v>
      </c>
      <c r="E184" s="5" t="s">
        <v>581</v>
      </c>
      <c r="F184" s="5" t="s">
        <v>582</v>
      </c>
    </row>
    <row r="185" spans="1:6" ht="28.35" customHeight="1">
      <c r="A185" s="5" t="s">
        <v>577</v>
      </c>
      <c r="B185" s="5" t="s">
        <v>578</v>
      </c>
      <c r="C185" s="5" t="s">
        <v>589</v>
      </c>
      <c r="D185" s="5" t="s">
        <v>590</v>
      </c>
      <c r="E185" s="5" t="s">
        <v>581</v>
      </c>
      <c r="F185" s="5" t="s">
        <v>591</v>
      </c>
    </row>
    <row r="186" spans="1:6" ht="28.35" customHeight="1">
      <c r="A186" s="5" t="s">
        <v>577</v>
      </c>
      <c r="B186" s="5" t="s">
        <v>578</v>
      </c>
      <c r="C186" s="5" t="s">
        <v>592</v>
      </c>
      <c r="D186" s="5" t="s">
        <v>593</v>
      </c>
      <c r="E186" s="5" t="s">
        <v>581</v>
      </c>
      <c r="F186" s="5" t="s">
        <v>594</v>
      </c>
    </row>
    <row r="187" spans="1:6" ht="28.35" customHeight="1">
      <c r="A187" s="5" t="s">
        <v>577</v>
      </c>
      <c r="B187" s="5" t="s">
        <v>578</v>
      </c>
      <c r="C187" s="5" t="s">
        <v>595</v>
      </c>
      <c r="D187" s="5" t="s">
        <v>596</v>
      </c>
      <c r="E187" s="5" t="s">
        <v>581</v>
      </c>
      <c r="F187" s="5" t="s">
        <v>164</v>
      </c>
    </row>
    <row r="188" spans="1:6" ht="28.35" customHeight="1">
      <c r="A188" s="5" t="s">
        <v>577</v>
      </c>
      <c r="B188" s="5" t="s">
        <v>578</v>
      </c>
      <c r="C188" s="5" t="s">
        <v>597</v>
      </c>
      <c r="D188" s="5" t="s">
        <v>598</v>
      </c>
      <c r="E188" s="5" t="s">
        <v>581</v>
      </c>
      <c r="F188" s="5" t="s">
        <v>599</v>
      </c>
    </row>
    <row r="189" spans="1:6" ht="28.35" customHeight="1">
      <c r="A189" s="5" t="s">
        <v>577</v>
      </c>
      <c r="B189" s="5" t="s">
        <v>578</v>
      </c>
      <c r="C189" s="5" t="s">
        <v>600</v>
      </c>
      <c r="D189" s="5" t="s">
        <v>601</v>
      </c>
      <c r="E189" s="5" t="s">
        <v>581</v>
      </c>
      <c r="F189" s="5" t="s">
        <v>199</v>
      </c>
    </row>
    <row r="190" spans="1:6" ht="28.35" customHeight="1">
      <c r="A190" s="5" t="s">
        <v>577</v>
      </c>
      <c r="B190" s="5" t="s">
        <v>578</v>
      </c>
      <c r="C190" s="5" t="s">
        <v>602</v>
      </c>
      <c r="D190" s="5" t="s">
        <v>603</v>
      </c>
      <c r="E190" s="5" t="s">
        <v>581</v>
      </c>
      <c r="F190" s="5" t="s">
        <v>532</v>
      </c>
    </row>
    <row r="191" spans="1:6" ht="28.35" customHeight="1">
      <c r="A191" s="5" t="s">
        <v>577</v>
      </c>
      <c r="B191" s="5" t="s">
        <v>578</v>
      </c>
      <c r="C191" s="5" t="s">
        <v>604</v>
      </c>
      <c r="D191" s="5" t="s">
        <v>605</v>
      </c>
      <c r="E191" s="5" t="s">
        <v>581</v>
      </c>
      <c r="F191" s="5" t="s">
        <v>199</v>
      </c>
    </row>
    <row r="192" spans="1:6" ht="28.35" customHeight="1">
      <c r="A192" s="5" t="s">
        <v>577</v>
      </c>
      <c r="B192" s="5" t="s">
        <v>578</v>
      </c>
      <c r="C192" s="5" t="s">
        <v>606</v>
      </c>
      <c r="D192" s="5" t="s">
        <v>607</v>
      </c>
      <c r="E192" s="5" t="s">
        <v>581</v>
      </c>
      <c r="F192" s="5" t="s">
        <v>608</v>
      </c>
    </row>
    <row r="193" spans="1:6" ht="28.35" customHeight="1">
      <c r="A193" s="5" t="s">
        <v>577</v>
      </c>
      <c r="B193" s="5" t="s">
        <v>578</v>
      </c>
      <c r="C193" s="5" t="s">
        <v>609</v>
      </c>
      <c r="D193" s="5" t="s">
        <v>610</v>
      </c>
      <c r="E193" s="5" t="s">
        <v>581</v>
      </c>
      <c r="F193" s="5" t="s">
        <v>611</v>
      </c>
    </row>
    <row r="194" spans="1:6" ht="28.35" customHeight="1">
      <c r="A194" s="5" t="s">
        <v>612</v>
      </c>
      <c r="B194" s="5" t="s">
        <v>613</v>
      </c>
      <c r="C194" s="5" t="s">
        <v>614</v>
      </c>
      <c r="D194" s="5" t="s">
        <v>615</v>
      </c>
      <c r="E194" s="5" t="s">
        <v>616</v>
      </c>
      <c r="F194" s="5" t="s">
        <v>617</v>
      </c>
    </row>
    <row r="195" spans="1:6" ht="28.35" customHeight="1">
      <c r="A195" s="5" t="s">
        <v>612</v>
      </c>
      <c r="B195" s="5" t="s">
        <v>613</v>
      </c>
      <c r="C195" s="5" t="s">
        <v>618</v>
      </c>
      <c r="D195" s="5" t="s">
        <v>619</v>
      </c>
      <c r="E195" s="5" t="s">
        <v>616</v>
      </c>
      <c r="F195" s="5" t="s">
        <v>620</v>
      </c>
    </row>
    <row r="196" spans="1:6" ht="28.35" customHeight="1">
      <c r="A196" s="5" t="s">
        <v>612</v>
      </c>
      <c r="B196" s="5" t="s">
        <v>613</v>
      </c>
      <c r="C196" s="5" t="s">
        <v>621</v>
      </c>
      <c r="D196" s="5" t="s">
        <v>622</v>
      </c>
      <c r="E196" s="5" t="s">
        <v>616</v>
      </c>
      <c r="F196" s="5" t="s">
        <v>623</v>
      </c>
    </row>
    <row r="197" spans="1:6" ht="28.35" customHeight="1">
      <c r="A197" s="5" t="s">
        <v>612</v>
      </c>
      <c r="B197" s="5" t="s">
        <v>613</v>
      </c>
      <c r="C197" s="5" t="s">
        <v>624</v>
      </c>
      <c r="D197" s="5" t="s">
        <v>625</v>
      </c>
      <c r="E197" s="5" t="s">
        <v>616</v>
      </c>
      <c r="F197" s="5" t="s">
        <v>626</v>
      </c>
    </row>
    <row r="198" spans="1:6" ht="28.35" customHeight="1">
      <c r="A198" s="5" t="s">
        <v>612</v>
      </c>
      <c r="B198" s="5" t="s">
        <v>613</v>
      </c>
      <c r="C198" s="5" t="s">
        <v>627</v>
      </c>
      <c r="D198" s="5" t="s">
        <v>628</v>
      </c>
      <c r="E198" s="5" t="s">
        <v>629</v>
      </c>
      <c r="F198" s="5" t="s">
        <v>630</v>
      </c>
    </row>
    <row r="199" spans="1:6" ht="28.35" customHeight="1">
      <c r="A199" s="5" t="s">
        <v>612</v>
      </c>
      <c r="B199" s="5" t="s">
        <v>613</v>
      </c>
      <c r="C199" s="5" t="s">
        <v>631</v>
      </c>
      <c r="D199" s="5" t="s">
        <v>632</v>
      </c>
      <c r="E199" s="5" t="s">
        <v>616</v>
      </c>
      <c r="F199" s="5" t="s">
        <v>633</v>
      </c>
    </row>
    <row r="200" spans="1:6" ht="28.35" customHeight="1">
      <c r="A200" s="5" t="s">
        <v>612</v>
      </c>
      <c r="B200" s="5" t="s">
        <v>613</v>
      </c>
      <c r="C200" s="5" t="s">
        <v>634</v>
      </c>
      <c r="D200" s="5" t="s">
        <v>635</v>
      </c>
      <c r="E200" s="5" t="s">
        <v>616</v>
      </c>
      <c r="F200" s="5" t="s">
        <v>636</v>
      </c>
    </row>
    <row r="201" spans="1:6" ht="28.35" customHeight="1">
      <c r="A201" s="5" t="s">
        <v>612</v>
      </c>
      <c r="B201" s="5" t="s">
        <v>613</v>
      </c>
      <c r="C201" s="5" t="s">
        <v>637</v>
      </c>
      <c r="D201" s="5" t="s">
        <v>638</v>
      </c>
      <c r="E201" s="5" t="s">
        <v>616</v>
      </c>
      <c r="F201" s="5" t="s">
        <v>639</v>
      </c>
    </row>
    <row r="202" spans="1:6" ht="28.35" customHeight="1">
      <c r="A202" s="5" t="s">
        <v>612</v>
      </c>
      <c r="B202" s="5" t="s">
        <v>613</v>
      </c>
      <c r="C202" s="5" t="s">
        <v>640</v>
      </c>
      <c r="D202" s="5" t="s">
        <v>641</v>
      </c>
      <c r="E202" s="5" t="s">
        <v>616</v>
      </c>
      <c r="F202" s="5" t="s">
        <v>642</v>
      </c>
    </row>
    <row r="203" spans="1:6" ht="28.35" customHeight="1">
      <c r="A203" s="5" t="s">
        <v>612</v>
      </c>
      <c r="B203" s="5" t="s">
        <v>613</v>
      </c>
      <c r="C203" s="5" t="s">
        <v>643</v>
      </c>
      <c r="D203" s="5" t="s">
        <v>644</v>
      </c>
      <c r="E203" s="5" t="s">
        <v>629</v>
      </c>
      <c r="F203" s="5" t="s">
        <v>645</v>
      </c>
    </row>
    <row r="204" spans="1:6" ht="28.35" customHeight="1">
      <c r="A204" s="5" t="s">
        <v>612</v>
      </c>
      <c r="B204" s="5" t="s">
        <v>613</v>
      </c>
      <c r="C204" s="5" t="s">
        <v>646</v>
      </c>
      <c r="D204" s="5" t="s">
        <v>647</v>
      </c>
      <c r="E204" s="5" t="s">
        <v>629</v>
      </c>
      <c r="F204" s="5" t="s">
        <v>648</v>
      </c>
    </row>
    <row r="205" spans="1:6" ht="28.35" customHeight="1">
      <c r="A205" s="5" t="s">
        <v>612</v>
      </c>
      <c r="B205" s="5" t="s">
        <v>613</v>
      </c>
      <c r="C205" s="5" t="s">
        <v>649</v>
      </c>
      <c r="D205" s="5" t="s">
        <v>650</v>
      </c>
      <c r="E205" s="5" t="s">
        <v>616</v>
      </c>
      <c r="F205" s="5" t="s">
        <v>651</v>
      </c>
    </row>
    <row r="206" spans="1:6" ht="28.35" customHeight="1">
      <c r="A206" s="5" t="s">
        <v>612</v>
      </c>
      <c r="B206" s="5" t="s">
        <v>613</v>
      </c>
      <c r="C206" s="5" t="s">
        <v>652</v>
      </c>
      <c r="D206" s="5" t="s">
        <v>653</v>
      </c>
      <c r="E206" s="5" t="s">
        <v>616</v>
      </c>
      <c r="F206" s="5" t="s">
        <v>654</v>
      </c>
    </row>
    <row r="207" spans="1:6" ht="28.35" customHeight="1">
      <c r="A207" s="5" t="s">
        <v>612</v>
      </c>
      <c r="B207" s="5" t="s">
        <v>613</v>
      </c>
      <c r="C207" s="5" t="s">
        <v>655</v>
      </c>
      <c r="D207" s="5" t="s">
        <v>656</v>
      </c>
      <c r="E207" s="5" t="s">
        <v>616</v>
      </c>
      <c r="F207" s="5" t="s">
        <v>424</v>
      </c>
    </row>
    <row r="208" spans="1:6" ht="28.35" customHeight="1">
      <c r="A208" s="5" t="s">
        <v>612</v>
      </c>
      <c r="B208" s="5" t="s">
        <v>613</v>
      </c>
      <c r="C208" s="5" t="s">
        <v>657</v>
      </c>
      <c r="D208" s="5" t="s">
        <v>658</v>
      </c>
      <c r="E208" s="5" t="s">
        <v>616</v>
      </c>
      <c r="F208" s="5" t="s">
        <v>611</v>
      </c>
    </row>
    <row r="209" spans="1:6" ht="28.35" customHeight="1">
      <c r="A209" s="5" t="s">
        <v>612</v>
      </c>
      <c r="B209" s="5" t="s">
        <v>613</v>
      </c>
      <c r="C209" s="5" t="s">
        <v>659</v>
      </c>
      <c r="D209" s="5" t="s">
        <v>660</v>
      </c>
      <c r="E209" s="5" t="s">
        <v>616</v>
      </c>
      <c r="F209" s="5" t="s">
        <v>654</v>
      </c>
    </row>
    <row r="210" spans="1:6" ht="28.35" customHeight="1">
      <c r="A210" s="5" t="s">
        <v>612</v>
      </c>
      <c r="B210" s="5" t="s">
        <v>613</v>
      </c>
      <c r="C210" s="5" t="s">
        <v>661</v>
      </c>
      <c r="D210" s="5" t="s">
        <v>662</v>
      </c>
      <c r="E210" s="5" t="s">
        <v>616</v>
      </c>
      <c r="F210" s="5" t="s">
        <v>663</v>
      </c>
    </row>
    <row r="211" spans="1:6" ht="28.35" customHeight="1">
      <c r="A211" s="5" t="s">
        <v>612</v>
      </c>
      <c r="B211" s="5" t="s">
        <v>613</v>
      </c>
      <c r="C211" s="5" t="s">
        <v>664</v>
      </c>
      <c r="D211" s="5" t="s">
        <v>665</v>
      </c>
      <c r="E211" s="5" t="s">
        <v>616</v>
      </c>
      <c r="F211" s="5" t="s">
        <v>666</v>
      </c>
    </row>
    <row r="212" spans="1:6" ht="28.35" customHeight="1">
      <c r="A212" s="5" t="s">
        <v>612</v>
      </c>
      <c r="B212" s="5" t="s">
        <v>613</v>
      </c>
      <c r="C212" s="5" t="s">
        <v>667</v>
      </c>
      <c r="D212" s="5" t="s">
        <v>668</v>
      </c>
      <c r="E212" s="5" t="s">
        <v>669</v>
      </c>
      <c r="F212" s="5" t="s">
        <v>670</v>
      </c>
    </row>
    <row r="213" spans="1:6" ht="28.35" customHeight="1">
      <c r="A213" s="5" t="s">
        <v>612</v>
      </c>
      <c r="B213" s="5" t="s">
        <v>613</v>
      </c>
      <c r="C213" s="5" t="s">
        <v>671</v>
      </c>
      <c r="D213" s="5" t="s">
        <v>672</v>
      </c>
      <c r="E213" s="5" t="s">
        <v>669</v>
      </c>
      <c r="F213" s="5" t="s">
        <v>673</v>
      </c>
    </row>
    <row r="214" spans="1:6" ht="28.35" customHeight="1">
      <c r="A214" s="5" t="s">
        <v>674</v>
      </c>
      <c r="B214" s="5" t="s">
        <v>675</v>
      </c>
      <c r="C214" s="5" t="s">
        <v>676</v>
      </c>
      <c r="D214" s="5" t="s">
        <v>677</v>
      </c>
      <c r="E214" s="5" t="s">
        <v>678</v>
      </c>
      <c r="F214" s="5" t="s">
        <v>679</v>
      </c>
    </row>
    <row r="215" spans="1:6" ht="28.35" customHeight="1">
      <c r="A215" s="5" t="s">
        <v>674</v>
      </c>
      <c r="B215" s="5" t="s">
        <v>675</v>
      </c>
      <c r="C215" s="5" t="s">
        <v>680</v>
      </c>
      <c r="D215" s="5" t="s">
        <v>681</v>
      </c>
      <c r="E215" s="5" t="s">
        <v>678</v>
      </c>
      <c r="F215" s="5" t="s">
        <v>682</v>
      </c>
    </row>
    <row r="216" spans="1:6" ht="28.35" customHeight="1">
      <c r="A216" s="5" t="s">
        <v>683</v>
      </c>
      <c r="B216" s="5" t="s">
        <v>684</v>
      </c>
      <c r="C216" s="5" t="s">
        <v>685</v>
      </c>
      <c r="D216" s="5" t="s">
        <v>686</v>
      </c>
      <c r="E216" s="5" t="s">
        <v>687</v>
      </c>
      <c r="F216" s="5" t="s">
        <v>688</v>
      </c>
    </row>
    <row r="217" spans="1:6" ht="28.35" customHeight="1">
      <c r="A217" s="5" t="s">
        <v>683</v>
      </c>
      <c r="B217" s="5" t="s">
        <v>684</v>
      </c>
      <c r="C217" s="5" t="s">
        <v>689</v>
      </c>
      <c r="D217" s="5" t="s">
        <v>690</v>
      </c>
      <c r="E217" s="5" t="s">
        <v>687</v>
      </c>
      <c r="F217" s="5" t="s">
        <v>691</v>
      </c>
    </row>
    <row r="218" spans="1:6" ht="28.35" customHeight="1">
      <c r="A218" s="5" t="s">
        <v>683</v>
      </c>
      <c r="B218" s="5" t="s">
        <v>684</v>
      </c>
      <c r="C218" s="5" t="s">
        <v>692</v>
      </c>
      <c r="D218" s="5" t="s">
        <v>693</v>
      </c>
      <c r="E218" s="5" t="s">
        <v>687</v>
      </c>
      <c r="F218" s="5" t="s">
        <v>694</v>
      </c>
    </row>
    <row r="219" spans="1:6" ht="28.35" customHeight="1">
      <c r="A219" s="5" t="s">
        <v>683</v>
      </c>
      <c r="B219" s="5" t="s">
        <v>684</v>
      </c>
      <c r="C219" s="5" t="s">
        <v>695</v>
      </c>
      <c r="D219" s="5" t="s">
        <v>696</v>
      </c>
      <c r="E219" s="5" t="s">
        <v>687</v>
      </c>
      <c r="F219" s="5" t="s">
        <v>697</v>
      </c>
    </row>
    <row r="220" spans="1:6" ht="28.35" customHeight="1">
      <c r="A220" s="5" t="s">
        <v>683</v>
      </c>
      <c r="B220" s="5" t="s">
        <v>684</v>
      </c>
      <c r="C220" s="5" t="s">
        <v>698</v>
      </c>
      <c r="D220" s="5" t="s">
        <v>699</v>
      </c>
      <c r="E220" s="5" t="s">
        <v>687</v>
      </c>
      <c r="F220" s="5" t="s">
        <v>700</v>
      </c>
    </row>
    <row r="221" spans="1:6" ht="28.35" customHeight="1">
      <c r="A221" s="5" t="s">
        <v>683</v>
      </c>
      <c r="B221" s="5" t="s">
        <v>684</v>
      </c>
      <c r="C221" s="5" t="s">
        <v>701</v>
      </c>
      <c r="D221" s="5" t="s">
        <v>702</v>
      </c>
      <c r="E221" s="5" t="s">
        <v>687</v>
      </c>
      <c r="F221" s="5" t="s">
        <v>703</v>
      </c>
    </row>
    <row r="222" spans="1:6" ht="28.35" customHeight="1">
      <c r="A222" s="5" t="s">
        <v>683</v>
      </c>
      <c r="B222" s="5" t="s">
        <v>684</v>
      </c>
      <c r="C222" s="5" t="s">
        <v>704</v>
      </c>
      <c r="D222" s="5" t="s">
        <v>705</v>
      </c>
      <c r="E222" s="5" t="s">
        <v>687</v>
      </c>
      <c r="F222" s="5" t="s">
        <v>706</v>
      </c>
    </row>
    <row r="223" spans="1:6" ht="28.35" customHeight="1">
      <c r="A223" s="5" t="s">
        <v>683</v>
      </c>
      <c r="B223" s="5" t="s">
        <v>684</v>
      </c>
      <c r="C223" s="5" t="s">
        <v>707</v>
      </c>
      <c r="D223" s="5" t="s">
        <v>708</v>
      </c>
      <c r="E223" s="5" t="s">
        <v>687</v>
      </c>
      <c r="F223" s="5" t="s">
        <v>164</v>
      </c>
    </row>
    <row r="224" spans="1:6" ht="28.35" customHeight="1">
      <c r="A224" s="5" t="s">
        <v>683</v>
      </c>
      <c r="B224" s="5" t="s">
        <v>684</v>
      </c>
      <c r="C224" s="5" t="s">
        <v>709</v>
      </c>
      <c r="D224" s="5" t="s">
        <v>710</v>
      </c>
      <c r="E224" s="5" t="s">
        <v>687</v>
      </c>
      <c r="F224" s="5" t="s">
        <v>711</v>
      </c>
    </row>
    <row r="225" spans="1:6" ht="28.35" customHeight="1">
      <c r="A225" s="5" t="s">
        <v>683</v>
      </c>
      <c r="B225" s="5" t="s">
        <v>684</v>
      </c>
      <c r="C225" s="5" t="s">
        <v>712</v>
      </c>
      <c r="D225" s="5" t="s">
        <v>713</v>
      </c>
      <c r="E225" s="5" t="s">
        <v>687</v>
      </c>
      <c r="F225" s="5" t="s">
        <v>714</v>
      </c>
    </row>
    <row r="226" spans="1:6" ht="28.35" customHeight="1">
      <c r="A226" s="5" t="s">
        <v>683</v>
      </c>
      <c r="B226" s="5" t="s">
        <v>684</v>
      </c>
      <c r="C226" s="5" t="s">
        <v>715</v>
      </c>
      <c r="D226" s="5" t="s">
        <v>716</v>
      </c>
      <c r="E226" s="5" t="s">
        <v>45</v>
      </c>
      <c r="F226" s="5" t="s">
        <v>164</v>
      </c>
    </row>
    <row r="227" spans="1:6" ht="28.35" customHeight="1">
      <c r="A227" s="5" t="s">
        <v>683</v>
      </c>
      <c r="B227" s="5" t="s">
        <v>684</v>
      </c>
      <c r="C227" s="5" t="s">
        <v>717</v>
      </c>
      <c r="D227" s="5" t="s">
        <v>718</v>
      </c>
      <c r="E227" s="5" t="s">
        <v>45</v>
      </c>
      <c r="F227" s="5" t="s">
        <v>719</v>
      </c>
    </row>
    <row r="228" spans="1:6" ht="28.35" customHeight="1">
      <c r="A228" s="5" t="s">
        <v>683</v>
      </c>
      <c r="B228" s="5" t="s">
        <v>684</v>
      </c>
      <c r="C228" s="5" t="s">
        <v>720</v>
      </c>
      <c r="D228" s="5" t="s">
        <v>721</v>
      </c>
      <c r="E228" s="5" t="s">
        <v>33</v>
      </c>
      <c r="F228" s="5" t="s">
        <v>722</v>
      </c>
    </row>
    <row r="229" spans="1:6" ht="28.35" customHeight="1">
      <c r="A229" s="5" t="s">
        <v>683</v>
      </c>
      <c r="B229" s="5" t="s">
        <v>684</v>
      </c>
      <c r="C229" s="5" t="s">
        <v>723</v>
      </c>
      <c r="D229" s="5" t="s">
        <v>724</v>
      </c>
      <c r="E229" s="5" t="s">
        <v>33</v>
      </c>
      <c r="F229" s="5" t="s">
        <v>725</v>
      </c>
    </row>
    <row r="230" spans="1:6" ht="28.35" customHeight="1">
      <c r="A230" s="5" t="s">
        <v>683</v>
      </c>
      <c r="B230" s="5" t="s">
        <v>684</v>
      </c>
      <c r="C230" s="5" t="s">
        <v>726</v>
      </c>
      <c r="D230" s="5" t="s">
        <v>727</v>
      </c>
      <c r="E230" s="5" t="s">
        <v>33</v>
      </c>
      <c r="F230" s="5" t="s">
        <v>728</v>
      </c>
    </row>
    <row r="231" spans="1:6" ht="28.35" customHeight="1">
      <c r="A231" s="5" t="s">
        <v>683</v>
      </c>
      <c r="B231" s="5" t="s">
        <v>684</v>
      </c>
      <c r="C231" s="5" t="s">
        <v>729</v>
      </c>
      <c r="D231" s="5" t="s">
        <v>730</v>
      </c>
      <c r="E231" s="5" t="s">
        <v>33</v>
      </c>
      <c r="F231" s="5" t="s">
        <v>731</v>
      </c>
    </row>
    <row r="232" spans="1:6" ht="28.35" customHeight="1">
      <c r="A232" s="5" t="s">
        <v>683</v>
      </c>
      <c r="B232" s="5" t="s">
        <v>684</v>
      </c>
      <c r="C232" s="5" t="s">
        <v>732</v>
      </c>
      <c r="D232" s="5" t="s">
        <v>730</v>
      </c>
      <c r="E232" s="5" t="s">
        <v>733</v>
      </c>
      <c r="F232" s="5" t="s">
        <v>734</v>
      </c>
    </row>
    <row r="233" spans="1:6" ht="28.35" customHeight="1">
      <c r="A233" s="5" t="s">
        <v>683</v>
      </c>
      <c r="B233" s="5" t="s">
        <v>684</v>
      </c>
      <c r="C233" s="5" t="s">
        <v>735</v>
      </c>
      <c r="D233" s="5" t="s">
        <v>736</v>
      </c>
      <c r="E233" s="5" t="s">
        <v>737</v>
      </c>
      <c r="F233" s="5" t="s">
        <v>738</v>
      </c>
    </row>
    <row r="234" spans="1:6" ht="28.35" customHeight="1">
      <c r="A234" s="5" t="s">
        <v>683</v>
      </c>
      <c r="B234" s="5" t="s">
        <v>684</v>
      </c>
      <c r="C234" s="5" t="s">
        <v>739</v>
      </c>
      <c r="D234" s="5" t="s">
        <v>740</v>
      </c>
      <c r="E234" s="5" t="s">
        <v>737</v>
      </c>
      <c r="F234" s="5" t="s">
        <v>741</v>
      </c>
    </row>
    <row r="235" spans="1:6" ht="28.35" customHeight="1">
      <c r="A235" s="5" t="s">
        <v>683</v>
      </c>
      <c r="B235" s="5" t="s">
        <v>684</v>
      </c>
      <c r="C235" s="5" t="s">
        <v>742</v>
      </c>
      <c r="D235" s="5" t="s">
        <v>743</v>
      </c>
      <c r="E235" s="5" t="s">
        <v>207</v>
      </c>
      <c r="F235" s="5" t="s">
        <v>744</v>
      </c>
    </row>
    <row r="236" spans="1:6" ht="28.35" customHeight="1">
      <c r="A236" s="5" t="s">
        <v>683</v>
      </c>
      <c r="B236" s="5" t="s">
        <v>684</v>
      </c>
      <c r="C236" s="5" t="s">
        <v>745</v>
      </c>
      <c r="D236" s="5" t="s">
        <v>746</v>
      </c>
      <c r="E236" s="5" t="s">
        <v>207</v>
      </c>
      <c r="F236" s="5" t="s">
        <v>747</v>
      </c>
    </row>
    <row r="237" spans="1:6" ht="28.35" customHeight="1">
      <c r="A237" s="5" t="s">
        <v>683</v>
      </c>
      <c r="B237" s="5" t="s">
        <v>684</v>
      </c>
      <c r="C237" s="5" t="s">
        <v>748</v>
      </c>
      <c r="D237" s="5" t="s">
        <v>749</v>
      </c>
      <c r="E237" s="5" t="s">
        <v>207</v>
      </c>
      <c r="F237" s="5" t="s">
        <v>750</v>
      </c>
    </row>
    <row r="238" spans="1:6" ht="28.35" customHeight="1">
      <c r="A238" s="5" t="s">
        <v>683</v>
      </c>
      <c r="B238" s="5" t="s">
        <v>684</v>
      </c>
      <c r="C238" s="5" t="s">
        <v>751</v>
      </c>
      <c r="D238" s="5" t="s">
        <v>752</v>
      </c>
      <c r="E238" s="5" t="s">
        <v>207</v>
      </c>
      <c r="F238" s="5" t="s">
        <v>753</v>
      </c>
    </row>
    <row r="239" spans="1:6" ht="28.35" customHeight="1">
      <c r="A239" s="5" t="s">
        <v>683</v>
      </c>
      <c r="B239" s="5" t="s">
        <v>684</v>
      </c>
      <c r="C239" s="5" t="s">
        <v>754</v>
      </c>
      <c r="D239" s="5" t="s">
        <v>755</v>
      </c>
      <c r="E239" s="5" t="s">
        <v>207</v>
      </c>
      <c r="F239" s="5" t="s">
        <v>756</v>
      </c>
    </row>
    <row r="240" spans="1:6" ht="28.35" customHeight="1">
      <c r="A240" s="5" t="s">
        <v>683</v>
      </c>
      <c r="B240" s="5" t="s">
        <v>684</v>
      </c>
      <c r="C240" s="5" t="s">
        <v>757</v>
      </c>
      <c r="D240" s="5" t="s">
        <v>758</v>
      </c>
      <c r="E240" s="5" t="s">
        <v>207</v>
      </c>
      <c r="F240" s="5" t="s">
        <v>759</v>
      </c>
    </row>
    <row r="241" spans="1:6" ht="28.35" customHeight="1">
      <c r="A241" s="5" t="s">
        <v>760</v>
      </c>
      <c r="B241" s="5" t="s">
        <v>761</v>
      </c>
      <c r="C241" s="5" t="s">
        <v>762</v>
      </c>
      <c r="D241" s="5" t="s">
        <v>763</v>
      </c>
      <c r="E241" s="5" t="s">
        <v>764</v>
      </c>
      <c r="F241" s="5" t="s">
        <v>765</v>
      </c>
    </row>
    <row r="242" spans="1:6" ht="28.35" customHeight="1">
      <c r="A242" s="5" t="s">
        <v>760</v>
      </c>
      <c r="B242" s="5" t="s">
        <v>761</v>
      </c>
      <c r="C242" s="5" t="s">
        <v>766</v>
      </c>
      <c r="D242" s="5" t="s">
        <v>767</v>
      </c>
      <c r="E242" s="5" t="s">
        <v>136</v>
      </c>
      <c r="F242" s="5" t="s">
        <v>768</v>
      </c>
    </row>
    <row r="243" spans="1:6" ht="28.35" customHeight="1">
      <c r="A243" s="5" t="s">
        <v>760</v>
      </c>
      <c r="B243" s="5" t="s">
        <v>761</v>
      </c>
      <c r="C243" s="5" t="s">
        <v>769</v>
      </c>
      <c r="D243" s="5" t="s">
        <v>770</v>
      </c>
      <c r="E243" s="5" t="s">
        <v>136</v>
      </c>
      <c r="F243" s="5" t="s">
        <v>78</v>
      </c>
    </row>
    <row r="244" spans="1:6" ht="28.35" customHeight="1">
      <c r="A244" s="5" t="s">
        <v>760</v>
      </c>
      <c r="B244" s="5" t="s">
        <v>761</v>
      </c>
      <c r="C244" s="5" t="s">
        <v>771</v>
      </c>
      <c r="D244" s="5" t="s">
        <v>772</v>
      </c>
      <c r="E244" s="5" t="s">
        <v>136</v>
      </c>
      <c r="F244" s="5" t="s">
        <v>773</v>
      </c>
    </row>
    <row r="245" spans="1:6" ht="28.35" customHeight="1">
      <c r="A245" s="5" t="s">
        <v>760</v>
      </c>
      <c r="B245" s="5" t="s">
        <v>761</v>
      </c>
      <c r="C245" s="5" t="s">
        <v>774</v>
      </c>
      <c r="D245" s="5" t="s">
        <v>775</v>
      </c>
      <c r="E245" s="5" t="s">
        <v>764</v>
      </c>
      <c r="F245" s="5" t="s">
        <v>776</v>
      </c>
    </row>
    <row r="246" spans="1:6" ht="28.35" customHeight="1">
      <c r="A246" s="5" t="s">
        <v>760</v>
      </c>
      <c r="B246" s="5" t="s">
        <v>761</v>
      </c>
      <c r="C246" s="5" t="s">
        <v>777</v>
      </c>
      <c r="D246" s="5" t="s">
        <v>778</v>
      </c>
      <c r="E246" s="5" t="s">
        <v>764</v>
      </c>
      <c r="F246" s="5" t="s">
        <v>779</v>
      </c>
    </row>
    <row r="247" spans="1:6" ht="28.35" customHeight="1">
      <c r="A247" s="5" t="s">
        <v>760</v>
      </c>
      <c r="B247" s="5" t="s">
        <v>761</v>
      </c>
      <c r="C247" s="5" t="s">
        <v>780</v>
      </c>
      <c r="D247" s="5" t="s">
        <v>781</v>
      </c>
      <c r="E247" s="5" t="s">
        <v>669</v>
      </c>
      <c r="F247" s="5" t="s">
        <v>532</v>
      </c>
    </row>
    <row r="248" spans="1:6" ht="28.35" customHeight="1">
      <c r="A248" s="5" t="s">
        <v>760</v>
      </c>
      <c r="B248" s="5" t="s">
        <v>761</v>
      </c>
      <c r="C248" s="5" t="s">
        <v>782</v>
      </c>
      <c r="D248" s="5" t="s">
        <v>783</v>
      </c>
      <c r="E248" s="5" t="s">
        <v>669</v>
      </c>
      <c r="F248" s="5" t="s">
        <v>784</v>
      </c>
    </row>
    <row r="249" spans="1:6" ht="28.35" customHeight="1">
      <c r="A249" s="5" t="s">
        <v>760</v>
      </c>
      <c r="B249" s="5" t="s">
        <v>761</v>
      </c>
      <c r="C249" s="5" t="s">
        <v>785</v>
      </c>
      <c r="D249" s="5" t="s">
        <v>786</v>
      </c>
      <c r="E249" s="5" t="s">
        <v>669</v>
      </c>
      <c r="F249" s="5" t="s">
        <v>787</v>
      </c>
    </row>
    <row r="250" spans="1:6" ht="28.35" customHeight="1">
      <c r="A250" s="5" t="s">
        <v>788</v>
      </c>
      <c r="B250" s="5" t="s">
        <v>789</v>
      </c>
      <c r="C250" s="5" t="s">
        <v>790</v>
      </c>
      <c r="D250" s="5" t="s">
        <v>791</v>
      </c>
      <c r="E250" s="5" t="s">
        <v>207</v>
      </c>
      <c r="F250" s="5" t="s">
        <v>792</v>
      </c>
    </row>
    <row r="251" spans="1:6" ht="28.35" customHeight="1">
      <c r="A251" s="5" t="s">
        <v>788</v>
      </c>
      <c r="B251" s="5" t="s">
        <v>789</v>
      </c>
      <c r="C251" s="5" t="s">
        <v>793</v>
      </c>
      <c r="D251" s="5" t="s">
        <v>794</v>
      </c>
      <c r="E251" s="5" t="s">
        <v>207</v>
      </c>
      <c r="F251" s="5" t="s">
        <v>795</v>
      </c>
    </row>
    <row r="252" spans="1:6" ht="28.35" customHeight="1">
      <c r="A252" s="5" t="s">
        <v>796</v>
      </c>
      <c r="B252" s="5" t="s">
        <v>797</v>
      </c>
      <c r="C252" s="5" t="s">
        <v>798</v>
      </c>
      <c r="D252" s="5" t="s">
        <v>799</v>
      </c>
      <c r="E252" s="5" t="s">
        <v>207</v>
      </c>
      <c r="F252" s="5" t="s">
        <v>337</v>
      </c>
    </row>
    <row r="253" spans="1:6" ht="28.35" customHeight="1">
      <c r="A253" s="5" t="s">
        <v>800</v>
      </c>
      <c r="B253" s="5" t="s">
        <v>801</v>
      </c>
      <c r="C253" s="5" t="s">
        <v>802</v>
      </c>
      <c r="D253" s="5" t="s">
        <v>803</v>
      </c>
      <c r="E253" s="5" t="s">
        <v>804</v>
      </c>
      <c r="F253" s="5" t="s">
        <v>805</v>
      </c>
    </row>
    <row r="254" spans="1:6" ht="28.35" customHeight="1">
      <c r="A254" s="5" t="s">
        <v>800</v>
      </c>
      <c r="B254" s="5" t="s">
        <v>801</v>
      </c>
      <c r="C254" s="5" t="s">
        <v>806</v>
      </c>
      <c r="D254" s="5" t="s">
        <v>807</v>
      </c>
      <c r="E254" s="5" t="s">
        <v>804</v>
      </c>
      <c r="F254" s="5" t="s">
        <v>808</v>
      </c>
    </row>
    <row r="255" spans="1:6" ht="28.35" customHeight="1">
      <c r="A255" s="5" t="s">
        <v>800</v>
      </c>
      <c r="B255" s="5" t="s">
        <v>801</v>
      </c>
      <c r="C255" s="5" t="s">
        <v>809</v>
      </c>
      <c r="D255" s="5" t="s">
        <v>810</v>
      </c>
      <c r="E255" s="5" t="s">
        <v>207</v>
      </c>
      <c r="F255" s="5" t="s">
        <v>811</v>
      </c>
    </row>
    <row r="256" spans="1:6" ht="28.35" customHeight="1">
      <c r="A256" s="5" t="s">
        <v>800</v>
      </c>
      <c r="B256" s="5" t="s">
        <v>801</v>
      </c>
      <c r="C256" s="5" t="s">
        <v>812</v>
      </c>
      <c r="D256" s="5" t="s">
        <v>813</v>
      </c>
      <c r="E256" s="5" t="s">
        <v>207</v>
      </c>
      <c r="F256" s="5" t="s">
        <v>814</v>
      </c>
    </row>
    <row r="257" spans="1:6" ht="28.35" customHeight="1">
      <c r="A257" s="5" t="s">
        <v>800</v>
      </c>
      <c r="B257" s="5" t="s">
        <v>801</v>
      </c>
      <c r="C257" s="5" t="s">
        <v>815</v>
      </c>
      <c r="D257" s="5" t="s">
        <v>816</v>
      </c>
      <c r="E257" s="5" t="s">
        <v>207</v>
      </c>
      <c r="F257" s="5" t="s">
        <v>817</v>
      </c>
    </row>
    <row r="258" spans="1:6" ht="28.35" customHeight="1">
      <c r="A258" s="5" t="s">
        <v>800</v>
      </c>
      <c r="B258" s="5" t="s">
        <v>801</v>
      </c>
      <c r="C258" s="5" t="s">
        <v>818</v>
      </c>
      <c r="D258" s="5" t="s">
        <v>819</v>
      </c>
      <c r="E258" s="5" t="s">
        <v>207</v>
      </c>
      <c r="F258" s="5" t="s">
        <v>820</v>
      </c>
    </row>
    <row r="259" spans="1:6" ht="28.35" customHeight="1">
      <c r="A259" s="5" t="s">
        <v>800</v>
      </c>
      <c r="B259" s="5" t="s">
        <v>801</v>
      </c>
      <c r="C259" s="5" t="s">
        <v>821</v>
      </c>
      <c r="D259" s="5" t="s">
        <v>822</v>
      </c>
      <c r="E259" s="5" t="s">
        <v>207</v>
      </c>
      <c r="F259" s="5" t="s">
        <v>521</v>
      </c>
    </row>
    <row r="260" spans="1:6" ht="28.35" customHeight="1">
      <c r="A260" s="5" t="s">
        <v>800</v>
      </c>
      <c r="B260" s="5" t="s">
        <v>801</v>
      </c>
      <c r="C260" s="5" t="s">
        <v>823</v>
      </c>
      <c r="D260" s="5" t="s">
        <v>824</v>
      </c>
      <c r="E260" s="5" t="s">
        <v>207</v>
      </c>
      <c r="F260" s="5" t="s">
        <v>825</v>
      </c>
    </row>
    <row r="261" spans="1:6" ht="28.35" customHeight="1">
      <c r="A261" s="5" t="s">
        <v>800</v>
      </c>
      <c r="B261" s="5" t="s">
        <v>801</v>
      </c>
      <c r="C261" s="5" t="s">
        <v>826</v>
      </c>
      <c r="D261" s="5" t="s">
        <v>827</v>
      </c>
      <c r="E261" s="5" t="s">
        <v>828</v>
      </c>
      <c r="F261" s="5" t="s">
        <v>829</v>
      </c>
    </row>
    <row r="262" spans="1:6" ht="28.35" customHeight="1">
      <c r="A262" s="5" t="s">
        <v>800</v>
      </c>
      <c r="B262" s="5" t="s">
        <v>801</v>
      </c>
      <c r="C262" s="5" t="s">
        <v>830</v>
      </c>
      <c r="D262" s="5" t="s">
        <v>831</v>
      </c>
      <c r="E262" s="5" t="s">
        <v>828</v>
      </c>
      <c r="F262" s="5" t="s">
        <v>753</v>
      </c>
    </row>
    <row r="263" spans="1:6" ht="28.35" customHeight="1">
      <c r="A263" s="5" t="s">
        <v>800</v>
      </c>
      <c r="B263" s="5" t="s">
        <v>801</v>
      </c>
      <c r="C263" s="5" t="s">
        <v>832</v>
      </c>
      <c r="D263" s="5" t="s">
        <v>833</v>
      </c>
      <c r="E263" s="5" t="s">
        <v>834</v>
      </c>
      <c r="F263" s="5" t="s">
        <v>835</v>
      </c>
    </row>
    <row r="264" spans="1:6" ht="28.35" customHeight="1">
      <c r="A264" s="5" t="s">
        <v>800</v>
      </c>
      <c r="B264" s="5" t="s">
        <v>801</v>
      </c>
      <c r="C264" s="5" t="s">
        <v>836</v>
      </c>
      <c r="D264" s="5" t="s">
        <v>837</v>
      </c>
      <c r="E264" s="5" t="s">
        <v>834</v>
      </c>
      <c r="F264" s="5" t="s">
        <v>328</v>
      </c>
    </row>
    <row r="265" spans="1:6" ht="28.35" customHeight="1">
      <c r="A265" s="5" t="s">
        <v>838</v>
      </c>
      <c r="B265" s="5" t="s">
        <v>839</v>
      </c>
      <c r="C265" s="5" t="s">
        <v>840</v>
      </c>
      <c r="D265" s="5" t="s">
        <v>841</v>
      </c>
      <c r="E265" s="5" t="s">
        <v>388</v>
      </c>
      <c r="F265" s="5" t="s">
        <v>842</v>
      </c>
    </row>
    <row r="266" spans="1:6" ht="28.35" customHeight="1">
      <c r="A266" s="5" t="s">
        <v>838</v>
      </c>
      <c r="B266" s="5" t="s">
        <v>839</v>
      </c>
      <c r="C266" s="5" t="s">
        <v>843</v>
      </c>
      <c r="D266" s="5" t="s">
        <v>844</v>
      </c>
      <c r="E266" s="5" t="s">
        <v>388</v>
      </c>
      <c r="F266" s="5" t="s">
        <v>845</v>
      </c>
    </row>
    <row r="267" spans="1:6" ht="28.35" customHeight="1">
      <c r="A267" s="5" t="s">
        <v>838</v>
      </c>
      <c r="B267" s="5" t="s">
        <v>839</v>
      </c>
      <c r="C267" s="5" t="s">
        <v>846</v>
      </c>
      <c r="D267" s="5" t="s">
        <v>847</v>
      </c>
      <c r="E267" s="5" t="s">
        <v>388</v>
      </c>
      <c r="F267" s="5" t="s">
        <v>848</v>
      </c>
    </row>
    <row r="268" spans="1:6" ht="28.35" customHeight="1">
      <c r="A268" s="5" t="s">
        <v>838</v>
      </c>
      <c r="B268" s="5" t="s">
        <v>839</v>
      </c>
      <c r="C268" s="5" t="s">
        <v>849</v>
      </c>
      <c r="D268" s="5" t="s">
        <v>850</v>
      </c>
      <c r="E268" s="5" t="s">
        <v>388</v>
      </c>
      <c r="F268" s="5" t="s">
        <v>851</v>
      </c>
    </row>
    <row r="269" spans="1:6" ht="28.35" customHeight="1">
      <c r="A269" s="5" t="s">
        <v>838</v>
      </c>
      <c r="B269" s="5" t="s">
        <v>839</v>
      </c>
      <c r="C269" s="5" t="s">
        <v>852</v>
      </c>
      <c r="D269" s="5" t="s">
        <v>853</v>
      </c>
      <c r="E269" s="5" t="s">
        <v>388</v>
      </c>
      <c r="F269" s="5" t="s">
        <v>851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S786"/>
  <sheetViews>
    <sheetView topLeftCell="A634" workbookViewId="0">
      <selection activeCell="D656" sqref="D656"/>
    </sheetView>
  </sheetViews>
  <sheetFormatPr defaultColWidth="9.140625" defaultRowHeight="23.25"/>
  <cols>
    <col min="1" max="1" width="3.85546875" style="6" customWidth="1"/>
    <col min="2" max="2" width="9.85546875" style="6" customWidth="1"/>
    <col min="3" max="4" width="10.28515625" style="6" customWidth="1"/>
    <col min="5" max="5" width="13.28515625" style="6" customWidth="1"/>
    <col min="6" max="7" width="11" style="6" customWidth="1"/>
    <col min="8" max="8" width="9.85546875" style="6" customWidth="1"/>
    <col min="9" max="9" width="2.85546875" style="6" customWidth="1"/>
    <col min="10" max="10" width="11.28515625" style="6" customWidth="1"/>
    <col min="11" max="11" width="12.28515625" style="6" customWidth="1"/>
    <col min="12" max="12" width="9.28515625" style="6" customWidth="1"/>
    <col min="13" max="13" width="8.28515625" style="6" customWidth="1"/>
    <col min="14" max="14" width="9.140625" style="6"/>
    <col min="15" max="15" width="10.140625" style="6" bestFit="1" customWidth="1"/>
    <col min="16" max="16" width="11.28515625" style="6" customWidth="1"/>
    <col min="17" max="17" width="12.28515625" style="6" bestFit="1" customWidth="1"/>
    <col min="18" max="18" width="9.28515625" style="6" customWidth="1"/>
    <col min="19" max="19" width="11.28515625" style="6" customWidth="1"/>
    <col min="20" max="20" width="14.28515625" style="6" customWidth="1"/>
    <col min="21" max="21" width="13.28515625" style="6" customWidth="1"/>
    <col min="22" max="22" width="14.28515625" style="6" customWidth="1"/>
    <col min="23" max="23" width="13.28515625" style="6" customWidth="1"/>
    <col min="24" max="24" width="13" style="6" customWidth="1"/>
    <col min="25" max="25" width="11.85546875" style="6" customWidth="1"/>
    <col min="26" max="26" width="9.140625" style="6"/>
    <col min="27" max="27" width="13.28515625" style="6" customWidth="1"/>
    <col min="28" max="28" width="11" style="6" customWidth="1"/>
    <col min="29" max="29" width="12.28515625" style="6" customWidth="1"/>
    <col min="30" max="31" width="10.28515625" style="6" customWidth="1"/>
    <col min="32" max="42" width="9.140625" style="6"/>
    <col min="43" max="43" width="13.140625" style="6" customWidth="1"/>
    <col min="44" max="50" width="9.140625" style="6"/>
    <col min="51" max="51" width="11.28515625" style="6" customWidth="1"/>
    <col min="52" max="16384" width="9.140625" style="6"/>
  </cols>
  <sheetData>
    <row r="2" spans="1:20" ht="24">
      <c r="A2" s="341" t="s">
        <v>854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</row>
    <row r="3" spans="1:20" ht="24">
      <c r="A3" s="341" t="s">
        <v>855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</row>
    <row r="5" spans="1:20">
      <c r="A5" s="7">
        <v>1</v>
      </c>
      <c r="B5" s="8" t="s">
        <v>856</v>
      </c>
    </row>
    <row r="6" spans="1:20">
      <c r="B6" s="9">
        <v>1.1000000000000001</v>
      </c>
      <c r="C6" s="10" t="s">
        <v>857</v>
      </c>
    </row>
    <row r="7" spans="1:20">
      <c r="B7" s="9"/>
      <c r="C7" s="6" t="s">
        <v>858</v>
      </c>
      <c r="I7" s="6" t="s">
        <v>859</v>
      </c>
      <c r="K7" s="11">
        <f>+[4]อัตราราคางานดิน!G7</f>
        <v>1.28</v>
      </c>
      <c r="L7" s="6" t="s">
        <v>860</v>
      </c>
    </row>
    <row r="8" spans="1:20">
      <c r="B8" s="9"/>
      <c r="D8" s="6" t="s">
        <v>861</v>
      </c>
      <c r="I8" s="6" t="s">
        <v>859</v>
      </c>
      <c r="K8" s="11">
        <f>ROUNDDOWN(K7,2)</f>
        <v>1.28</v>
      </c>
      <c r="L8" s="6" t="s">
        <v>860</v>
      </c>
    </row>
    <row r="9" spans="1:20">
      <c r="B9" s="9">
        <v>1.2</v>
      </c>
      <c r="C9" s="10" t="s">
        <v>862</v>
      </c>
    </row>
    <row r="10" spans="1:20">
      <c r="C10" s="6" t="s">
        <v>858</v>
      </c>
      <c r="I10" s="6" t="s">
        <v>859</v>
      </c>
      <c r="K10" s="11">
        <f>+[4]อัตราราคางานดิน!G8</f>
        <v>2.62</v>
      </c>
      <c r="L10" s="6" t="s">
        <v>860</v>
      </c>
    </row>
    <row r="11" spans="1:20">
      <c r="D11" s="6" t="s">
        <v>861</v>
      </c>
      <c r="I11" s="6" t="s">
        <v>859</v>
      </c>
      <c r="K11" s="11">
        <f>ROUNDDOWN(K10,2)</f>
        <v>2.62</v>
      </c>
      <c r="L11" s="6" t="s">
        <v>860</v>
      </c>
    </row>
    <row r="13" spans="1:20">
      <c r="A13" s="7">
        <v>2</v>
      </c>
      <c r="B13" s="8" t="s">
        <v>863</v>
      </c>
    </row>
    <row r="14" spans="1:20">
      <c r="C14" s="6" t="s">
        <v>864</v>
      </c>
      <c r="I14" s="6" t="s">
        <v>859</v>
      </c>
      <c r="K14" s="11">
        <f>+[4]อัตราราคางานดิน!$G$15</f>
        <v>18.48</v>
      </c>
      <c r="L14" s="6" t="s">
        <v>865</v>
      </c>
      <c r="N14" s="12" t="s">
        <v>866</v>
      </c>
    </row>
    <row r="15" spans="1:20">
      <c r="C15" s="6" t="s">
        <v>867</v>
      </c>
      <c r="I15" s="6" t="s">
        <v>859</v>
      </c>
      <c r="J15" s="6">
        <f>+[4]อัตราราคางานดิน!$G$17</f>
        <v>9.0399999999999991</v>
      </c>
      <c r="L15" s="6" t="s">
        <v>865</v>
      </c>
      <c r="M15" s="6" t="s">
        <v>868</v>
      </c>
      <c r="N15" s="12" t="s">
        <v>869</v>
      </c>
    </row>
    <row r="16" spans="1:20">
      <c r="C16" s="6" t="s">
        <v>870</v>
      </c>
      <c r="D16" s="13">
        <v>0</v>
      </c>
      <c r="E16" s="6" t="s">
        <v>871</v>
      </c>
      <c r="I16" s="6" t="s">
        <v>859</v>
      </c>
      <c r="J16" s="14">
        <v>0</v>
      </c>
      <c r="L16" s="6" t="s">
        <v>865</v>
      </c>
      <c r="M16" s="6" t="s">
        <v>868</v>
      </c>
      <c r="N16" s="12" t="s">
        <v>872</v>
      </c>
      <c r="O16" s="338" t="s">
        <v>873</v>
      </c>
      <c r="P16" s="339"/>
      <c r="Q16" s="340"/>
      <c r="T16" s="15">
        <f>'[4]วัสดุ+ค่าขนส่ง'!J4</f>
        <v>22.17</v>
      </c>
    </row>
    <row r="17" spans="1:20">
      <c r="D17" s="6" t="s">
        <v>874</v>
      </c>
      <c r="I17" s="6" t="s">
        <v>859</v>
      </c>
      <c r="J17" s="6">
        <f>+J15+J16</f>
        <v>9.0399999999999991</v>
      </c>
      <c r="L17" s="6" t="s">
        <v>865</v>
      </c>
      <c r="M17" s="6" t="s">
        <v>868</v>
      </c>
      <c r="N17" s="12" t="s">
        <v>875</v>
      </c>
    </row>
    <row r="18" spans="1:20">
      <c r="C18" s="6" t="s">
        <v>876</v>
      </c>
      <c r="E18" s="9">
        <f>+J17</f>
        <v>9.0399999999999991</v>
      </c>
      <c r="F18" s="6" t="s">
        <v>877</v>
      </c>
      <c r="G18" s="16">
        <f>'[4]ส่วนขยาย ยุบตัว'!C7</f>
        <v>1.25</v>
      </c>
      <c r="I18" s="6" t="s">
        <v>859</v>
      </c>
      <c r="K18" s="16">
        <f>+E18*G18</f>
        <v>11.299999999999999</v>
      </c>
      <c r="L18" s="6" t="s">
        <v>865</v>
      </c>
      <c r="N18" s="12" t="s">
        <v>878</v>
      </c>
    </row>
    <row r="19" spans="1:20">
      <c r="D19" s="6" t="s">
        <v>879</v>
      </c>
      <c r="I19" s="6" t="s">
        <v>859</v>
      </c>
      <c r="K19" s="16">
        <f>+ROUNDDOWN(K14+K18,2)</f>
        <v>29.78</v>
      </c>
      <c r="L19" s="6" t="s">
        <v>865</v>
      </c>
    </row>
    <row r="20" spans="1:20">
      <c r="A20" s="7">
        <v>3</v>
      </c>
      <c r="B20" s="8" t="s">
        <v>880</v>
      </c>
    </row>
    <row r="21" spans="1:20">
      <c r="B21" s="9">
        <v>3.1</v>
      </c>
      <c r="C21" s="6" t="s">
        <v>881</v>
      </c>
    </row>
    <row r="22" spans="1:20">
      <c r="C22" s="6" t="s">
        <v>882</v>
      </c>
      <c r="I22" s="6" t="s">
        <v>859</v>
      </c>
      <c r="J22" s="17" t="s">
        <v>883</v>
      </c>
      <c r="K22" s="18">
        <f>[4]อัตราค่าจ้างขั้นต่ำ!G4</f>
        <v>400</v>
      </c>
      <c r="L22" s="6" t="s">
        <v>865</v>
      </c>
    </row>
    <row r="23" spans="1:20">
      <c r="D23" s="6" t="s">
        <v>861</v>
      </c>
      <c r="I23" s="6" t="s">
        <v>859</v>
      </c>
      <c r="K23" s="18">
        <f>+ROUNDDOWN(K22/2,2)</f>
        <v>200</v>
      </c>
      <c r="L23" s="6" t="s">
        <v>865</v>
      </c>
    </row>
    <row r="24" spans="1:20">
      <c r="B24" s="8" t="s">
        <v>884</v>
      </c>
      <c r="C24" s="6" t="s">
        <v>885</v>
      </c>
    </row>
    <row r="25" spans="1:20">
      <c r="B25" s="9">
        <v>3.2</v>
      </c>
      <c r="C25" s="6" t="s">
        <v>19</v>
      </c>
    </row>
    <row r="26" spans="1:20">
      <c r="B26" s="9"/>
      <c r="C26" s="6" t="s">
        <v>886</v>
      </c>
      <c r="I26" s="6" t="s">
        <v>859</v>
      </c>
      <c r="K26" s="9">
        <f>+[4]อัตราราคางานดิน!$G$16</f>
        <v>18.59</v>
      </c>
      <c r="L26" s="6" t="s">
        <v>865</v>
      </c>
      <c r="N26" s="12" t="s">
        <v>866</v>
      </c>
    </row>
    <row r="27" spans="1:20">
      <c r="B27" s="9"/>
      <c r="C27" s="6" t="s">
        <v>870</v>
      </c>
      <c r="D27" s="13">
        <v>0</v>
      </c>
      <c r="E27" s="6" t="s">
        <v>871</v>
      </c>
      <c r="I27" s="6" t="s">
        <v>859</v>
      </c>
      <c r="J27" s="14">
        <v>0</v>
      </c>
      <c r="L27" s="6" t="s">
        <v>865</v>
      </c>
      <c r="M27" s="6" t="s">
        <v>868</v>
      </c>
      <c r="N27" s="12" t="s">
        <v>869</v>
      </c>
      <c r="O27" s="338" t="s">
        <v>873</v>
      </c>
      <c r="P27" s="339"/>
      <c r="Q27" s="340"/>
      <c r="T27" s="15">
        <f>'[4]วัสดุ+ค่าขนส่ง'!J4</f>
        <v>22.17</v>
      </c>
    </row>
    <row r="28" spans="1:20">
      <c r="B28" s="9"/>
      <c r="C28" s="6" t="s">
        <v>876</v>
      </c>
      <c r="E28" s="9">
        <f>+J27</f>
        <v>0</v>
      </c>
      <c r="F28" s="6" t="s">
        <v>877</v>
      </c>
      <c r="G28" s="16">
        <f>'[4]ส่วนขยาย ยุบตัว'!C7</f>
        <v>1.25</v>
      </c>
      <c r="I28" s="6" t="s">
        <v>859</v>
      </c>
      <c r="K28" s="16">
        <f>+E28*G28</f>
        <v>0</v>
      </c>
      <c r="L28" s="6" t="s">
        <v>865</v>
      </c>
      <c r="N28" s="12" t="s">
        <v>872</v>
      </c>
    </row>
    <row r="29" spans="1:20">
      <c r="B29" s="9"/>
      <c r="D29" s="6" t="s">
        <v>887</v>
      </c>
      <c r="I29" s="6" t="s">
        <v>859</v>
      </c>
      <c r="K29" s="15">
        <f>+ROUNDDOWN(K26+K28,2)</f>
        <v>18.59</v>
      </c>
      <c r="L29" s="6" t="s">
        <v>865</v>
      </c>
      <c r="N29" s="12"/>
    </row>
    <row r="30" spans="1:20">
      <c r="B30" s="9">
        <v>3.3</v>
      </c>
      <c r="C30" s="6" t="s">
        <v>888</v>
      </c>
      <c r="N30" s="12"/>
    </row>
    <row r="31" spans="1:20">
      <c r="C31" s="6" t="s">
        <v>889</v>
      </c>
      <c r="I31" s="6" t="s">
        <v>859</v>
      </c>
      <c r="K31" s="9">
        <f>+[4]อัตราราคางานดิน!$G$19</f>
        <v>33.119999999999997</v>
      </c>
      <c r="L31" s="6" t="s">
        <v>865</v>
      </c>
      <c r="N31" s="12" t="s">
        <v>866</v>
      </c>
    </row>
    <row r="32" spans="1:20">
      <c r="C32" s="6" t="s">
        <v>890</v>
      </c>
      <c r="I32" s="6" t="s">
        <v>859</v>
      </c>
      <c r="J32" s="9">
        <f>+[4]อัตราราคางานดิน!$G$20</f>
        <v>41.65</v>
      </c>
      <c r="L32" s="6" t="s">
        <v>865</v>
      </c>
      <c r="M32" s="6" t="s">
        <v>868</v>
      </c>
      <c r="N32" s="12" t="s">
        <v>869</v>
      </c>
    </row>
    <row r="33" spans="1:20">
      <c r="C33" s="6" t="s">
        <v>870</v>
      </c>
      <c r="D33" s="13">
        <v>0</v>
      </c>
      <c r="E33" s="6" t="s">
        <v>871</v>
      </c>
      <c r="I33" s="6" t="s">
        <v>859</v>
      </c>
      <c r="J33" s="14">
        <v>0</v>
      </c>
      <c r="L33" s="6" t="s">
        <v>865</v>
      </c>
      <c r="M33" s="6" t="s">
        <v>868</v>
      </c>
      <c r="N33" s="12" t="s">
        <v>872</v>
      </c>
      <c r="O33" s="338" t="s">
        <v>873</v>
      </c>
      <c r="P33" s="339"/>
      <c r="Q33" s="340"/>
      <c r="T33" s="15">
        <f>'[4]วัสดุ+ค่าขนส่ง'!J4</f>
        <v>22.17</v>
      </c>
    </row>
    <row r="34" spans="1:20">
      <c r="D34" s="6" t="s">
        <v>891</v>
      </c>
      <c r="I34" s="6" t="s">
        <v>859</v>
      </c>
      <c r="J34" s="9">
        <f>+J32+J33</f>
        <v>41.65</v>
      </c>
      <c r="L34" s="6" t="s">
        <v>865</v>
      </c>
      <c r="M34" s="6" t="s">
        <v>868</v>
      </c>
      <c r="N34" s="12" t="s">
        <v>875</v>
      </c>
    </row>
    <row r="35" spans="1:20">
      <c r="C35" s="6" t="s">
        <v>876</v>
      </c>
      <c r="E35" s="9">
        <f>+J34</f>
        <v>41.65</v>
      </c>
      <c r="F35" s="6" t="s">
        <v>877</v>
      </c>
      <c r="G35" s="16">
        <f>'[4]ส่วนขยาย ยุบตัว'!C7</f>
        <v>1.25</v>
      </c>
      <c r="I35" s="6" t="s">
        <v>859</v>
      </c>
      <c r="K35" s="19">
        <f>+E35*G35</f>
        <v>52.0625</v>
      </c>
      <c r="L35" s="6" t="s">
        <v>865</v>
      </c>
      <c r="N35" s="12" t="s">
        <v>878</v>
      </c>
    </row>
    <row r="36" spans="1:20">
      <c r="D36" s="6" t="s">
        <v>879</v>
      </c>
      <c r="I36" s="6" t="s">
        <v>859</v>
      </c>
      <c r="K36" s="15">
        <f>+ROUNDDOWN(K31+K35,2)</f>
        <v>85.18</v>
      </c>
      <c r="L36" s="6" t="s">
        <v>865</v>
      </c>
    </row>
    <row r="37" spans="1:20">
      <c r="A37" s="7">
        <v>4</v>
      </c>
      <c r="B37" s="8" t="s">
        <v>892</v>
      </c>
    </row>
    <row r="38" spans="1:20">
      <c r="B38" s="9">
        <v>4.0999999999999996</v>
      </c>
      <c r="C38" s="10" t="s">
        <v>893</v>
      </c>
    </row>
    <row r="39" spans="1:20">
      <c r="B39" s="9"/>
      <c r="C39" s="6" t="s">
        <v>858</v>
      </c>
      <c r="I39" s="6" t="s">
        <v>859</v>
      </c>
      <c r="K39" s="6">
        <f>+[4]อัตราราคางานดิน!$G$22</f>
        <v>29.07</v>
      </c>
      <c r="L39" s="6" t="s">
        <v>865</v>
      </c>
    </row>
    <row r="40" spans="1:20">
      <c r="B40" s="9"/>
      <c r="D40" s="6" t="s">
        <v>861</v>
      </c>
      <c r="I40" s="6" t="s">
        <v>859</v>
      </c>
      <c r="K40" s="6">
        <f>+ROUNDDOWN(K39,2)</f>
        <v>29.07</v>
      </c>
      <c r="L40" s="6" t="s">
        <v>865</v>
      </c>
    </row>
    <row r="41" spans="1:20">
      <c r="B41" s="9">
        <v>4.2</v>
      </c>
      <c r="C41" s="10" t="s">
        <v>894</v>
      </c>
    </row>
    <row r="42" spans="1:20">
      <c r="C42" s="6" t="s">
        <v>858</v>
      </c>
      <c r="I42" s="6" t="s">
        <v>859</v>
      </c>
      <c r="K42" s="6">
        <f>+[4]อัตราราคางานดิน!$G$23</f>
        <v>72.959999999999994</v>
      </c>
      <c r="L42" s="6" t="s">
        <v>865</v>
      </c>
    </row>
    <row r="43" spans="1:20">
      <c r="D43" s="6" t="s">
        <v>861</v>
      </c>
      <c r="I43" s="6" t="s">
        <v>859</v>
      </c>
      <c r="K43" s="6">
        <f>+ROUNDDOWN(K42,2)</f>
        <v>72.959999999999994</v>
      </c>
      <c r="L43" s="6" t="s">
        <v>865</v>
      </c>
    </row>
    <row r="44" spans="1:20">
      <c r="A44" s="7">
        <v>5</v>
      </c>
      <c r="B44" s="8" t="s">
        <v>895</v>
      </c>
    </row>
    <row r="45" spans="1:20">
      <c r="A45" s="7"/>
      <c r="B45" s="8"/>
      <c r="C45" s="6" t="s">
        <v>858</v>
      </c>
      <c r="I45" s="6" t="s">
        <v>859</v>
      </c>
      <c r="K45" s="6">
        <f>+[4]อัตราราคางานดิน!$G$24</f>
        <v>60.9</v>
      </c>
      <c r="L45" s="6" t="s">
        <v>896</v>
      </c>
    </row>
    <row r="46" spans="1:20">
      <c r="A46" s="7"/>
      <c r="B46" s="8"/>
      <c r="D46" s="6" t="s">
        <v>861</v>
      </c>
      <c r="I46" s="6" t="s">
        <v>859</v>
      </c>
      <c r="K46" s="6">
        <f>+ROUNDDOWN(K45,2)</f>
        <v>60.9</v>
      </c>
      <c r="L46" s="6" t="s">
        <v>896</v>
      </c>
    </row>
    <row r="47" spans="1:20">
      <c r="A47" s="7">
        <v>6</v>
      </c>
      <c r="B47" s="8" t="s">
        <v>897</v>
      </c>
    </row>
    <row r="48" spans="1:20">
      <c r="A48" s="7"/>
      <c r="B48" s="9">
        <v>6.1</v>
      </c>
      <c r="C48" s="6" t="s">
        <v>898</v>
      </c>
    </row>
    <row r="49" spans="2:20">
      <c r="C49" s="6" t="s">
        <v>899</v>
      </c>
      <c r="I49" s="6" t="s">
        <v>859</v>
      </c>
      <c r="K49" s="9">
        <f>+[4]อัตราราคาระเบิดหิน!$D$36</f>
        <v>157.03</v>
      </c>
      <c r="L49" s="6" t="s">
        <v>865</v>
      </c>
    </row>
    <row r="50" spans="2:20">
      <c r="C50" s="6" t="s">
        <v>890</v>
      </c>
      <c r="I50" s="6" t="s">
        <v>859</v>
      </c>
      <c r="J50" s="9">
        <f>+[4]อัตราราคางานดิน!$G$27</f>
        <v>40.630000000000003</v>
      </c>
      <c r="L50" s="6" t="s">
        <v>865</v>
      </c>
      <c r="M50" s="6" t="s">
        <v>868</v>
      </c>
    </row>
    <row r="51" spans="2:20">
      <c r="C51" s="6" t="s">
        <v>870</v>
      </c>
      <c r="D51" s="13">
        <v>0</v>
      </c>
      <c r="E51" s="6" t="s">
        <v>871</v>
      </c>
      <c r="I51" s="6" t="s">
        <v>859</v>
      </c>
      <c r="J51" s="14">
        <v>0</v>
      </c>
      <c r="L51" s="6" t="s">
        <v>865</v>
      </c>
      <c r="M51" s="6" t="s">
        <v>868</v>
      </c>
      <c r="O51" s="338" t="s">
        <v>873</v>
      </c>
      <c r="P51" s="339"/>
      <c r="Q51" s="340"/>
      <c r="T51" s="15">
        <f>'[4]วัสดุ+ค่าขนส่ง'!J4</f>
        <v>22.17</v>
      </c>
    </row>
    <row r="52" spans="2:20">
      <c r="D52" s="6" t="s">
        <v>874</v>
      </c>
      <c r="I52" s="6" t="s">
        <v>859</v>
      </c>
      <c r="J52" s="9">
        <f>+J50+J51</f>
        <v>40.630000000000003</v>
      </c>
      <c r="L52" s="6" t="s">
        <v>865</v>
      </c>
      <c r="M52" s="6" t="s">
        <v>868</v>
      </c>
    </row>
    <row r="53" spans="2:20">
      <c r="C53" s="6" t="s">
        <v>876</v>
      </c>
      <c r="E53" s="19">
        <f>+J52</f>
        <v>40.630000000000003</v>
      </c>
      <c r="F53" s="6" t="s">
        <v>877</v>
      </c>
      <c r="G53" s="16">
        <f>'[4]ส่วนขยาย ยุบตัว'!C13</f>
        <v>1.7</v>
      </c>
      <c r="I53" s="6" t="s">
        <v>859</v>
      </c>
      <c r="K53" s="19">
        <f>+E53*G53</f>
        <v>69.070999999999998</v>
      </c>
      <c r="L53" s="6" t="s">
        <v>865</v>
      </c>
    </row>
    <row r="54" spans="2:20">
      <c r="D54" s="6" t="s">
        <v>879</v>
      </c>
      <c r="I54" s="6" t="s">
        <v>859</v>
      </c>
      <c r="K54" s="15">
        <f>+ROUNDDOWN(K49+K53,2)</f>
        <v>226.1</v>
      </c>
      <c r="L54" s="6" t="s">
        <v>865</v>
      </c>
    </row>
    <row r="55" spans="2:20">
      <c r="B55" s="9">
        <v>6.2</v>
      </c>
      <c r="C55" s="6" t="s">
        <v>900</v>
      </c>
    </row>
    <row r="56" spans="2:20">
      <c r="B56" s="9"/>
      <c r="C56" s="6" t="s">
        <v>899</v>
      </c>
      <c r="I56" s="6" t="s">
        <v>859</v>
      </c>
      <c r="K56" s="9">
        <f>+[4]อัตราราคาระเบิดหิน!$D$39</f>
        <v>108.77</v>
      </c>
      <c r="L56" s="6" t="s">
        <v>865</v>
      </c>
    </row>
    <row r="57" spans="2:20">
      <c r="B57" s="9"/>
      <c r="C57" s="6" t="s">
        <v>890</v>
      </c>
      <c r="I57" s="6" t="s">
        <v>859</v>
      </c>
      <c r="J57" s="9">
        <f>+[4]อัตราราคางานดิน!$G$27</f>
        <v>40.630000000000003</v>
      </c>
      <c r="L57" s="6" t="s">
        <v>865</v>
      </c>
      <c r="M57" s="6" t="s">
        <v>868</v>
      </c>
    </row>
    <row r="58" spans="2:20">
      <c r="B58" s="9"/>
      <c r="C58" s="6" t="s">
        <v>870</v>
      </c>
      <c r="D58" s="13">
        <v>0</v>
      </c>
      <c r="E58" s="6" t="s">
        <v>871</v>
      </c>
      <c r="I58" s="6" t="s">
        <v>859</v>
      </c>
      <c r="J58" s="14">
        <v>0</v>
      </c>
      <c r="L58" s="6" t="s">
        <v>865</v>
      </c>
      <c r="M58" s="6" t="s">
        <v>868</v>
      </c>
      <c r="O58" s="338" t="s">
        <v>873</v>
      </c>
      <c r="P58" s="339"/>
      <c r="Q58" s="340"/>
      <c r="T58" s="15">
        <f>'[4]วัสดุ+ค่าขนส่ง'!J4</f>
        <v>22.17</v>
      </c>
    </row>
    <row r="59" spans="2:20">
      <c r="B59" s="9"/>
      <c r="D59" s="6" t="s">
        <v>874</v>
      </c>
      <c r="I59" s="6" t="s">
        <v>859</v>
      </c>
      <c r="J59" s="9">
        <f>+J57+J58</f>
        <v>40.630000000000003</v>
      </c>
      <c r="L59" s="6" t="s">
        <v>865</v>
      </c>
      <c r="M59" s="6" t="s">
        <v>868</v>
      </c>
    </row>
    <row r="60" spans="2:20">
      <c r="B60" s="9"/>
      <c r="C60" s="6" t="s">
        <v>876</v>
      </c>
      <c r="E60" s="19">
        <f>+J59</f>
        <v>40.630000000000003</v>
      </c>
      <c r="F60" s="6" t="s">
        <v>877</v>
      </c>
      <c r="G60" s="16">
        <f>'[4]ส่วนขยาย ยุบตัว'!C13</f>
        <v>1.7</v>
      </c>
      <c r="I60" s="6" t="s">
        <v>859</v>
      </c>
      <c r="K60" s="19">
        <f>+E60*G60</f>
        <v>69.070999999999998</v>
      </c>
      <c r="L60" s="6" t="s">
        <v>865</v>
      </c>
    </row>
    <row r="61" spans="2:20">
      <c r="B61" s="9"/>
      <c r="D61" s="6" t="s">
        <v>879</v>
      </c>
      <c r="I61" s="6" t="s">
        <v>859</v>
      </c>
      <c r="K61" s="15">
        <f>+ROUNDDOWN(K56+K60,2)</f>
        <v>177.84</v>
      </c>
      <c r="L61" s="6" t="s">
        <v>865</v>
      </c>
    </row>
    <row r="62" spans="2:20">
      <c r="B62" s="9">
        <v>6.3</v>
      </c>
      <c r="C62" s="6" t="s">
        <v>901</v>
      </c>
    </row>
    <row r="63" spans="2:20">
      <c r="C63" s="6" t="s">
        <v>899</v>
      </c>
      <c r="I63" s="6" t="s">
        <v>859</v>
      </c>
      <c r="K63" s="9">
        <f>+[4]อัตราราคาระเบิดหิน!$D$42</f>
        <v>69.930000000000007</v>
      </c>
      <c r="L63" s="6" t="s">
        <v>865</v>
      </c>
    </row>
    <row r="64" spans="2:20">
      <c r="C64" s="6" t="s">
        <v>890</v>
      </c>
      <c r="I64" s="6" t="s">
        <v>859</v>
      </c>
      <c r="J64" s="9">
        <f>+[4]อัตราราคางานดิน!$G$27</f>
        <v>40.630000000000003</v>
      </c>
      <c r="L64" s="6" t="s">
        <v>865</v>
      </c>
      <c r="M64" s="6" t="s">
        <v>868</v>
      </c>
    </row>
    <row r="65" spans="1:20">
      <c r="C65" s="6" t="s">
        <v>870</v>
      </c>
      <c r="D65" s="13">
        <v>0</v>
      </c>
      <c r="E65" s="6" t="s">
        <v>871</v>
      </c>
      <c r="I65" s="6" t="s">
        <v>859</v>
      </c>
      <c r="J65" s="14">
        <v>0</v>
      </c>
      <c r="L65" s="6" t="s">
        <v>865</v>
      </c>
      <c r="M65" s="6" t="s">
        <v>868</v>
      </c>
      <c r="O65" s="338" t="s">
        <v>873</v>
      </c>
      <c r="P65" s="339"/>
      <c r="Q65" s="340"/>
      <c r="T65" s="15">
        <f>'[4]วัสดุ+ค่าขนส่ง'!J4</f>
        <v>22.17</v>
      </c>
    </row>
    <row r="66" spans="1:20">
      <c r="D66" s="6" t="s">
        <v>891</v>
      </c>
      <c r="I66" s="6" t="s">
        <v>859</v>
      </c>
      <c r="J66" s="9">
        <f>+J64+J65</f>
        <v>40.630000000000003</v>
      </c>
      <c r="L66" s="6" t="s">
        <v>865</v>
      </c>
      <c r="M66" s="6" t="s">
        <v>868</v>
      </c>
    </row>
    <row r="67" spans="1:20">
      <c r="C67" s="6" t="s">
        <v>876</v>
      </c>
      <c r="E67" s="19">
        <f>+J66</f>
        <v>40.630000000000003</v>
      </c>
      <c r="F67" s="6" t="s">
        <v>877</v>
      </c>
      <c r="G67" s="16">
        <f>'[4]ส่วนขยาย ยุบตัว'!C13</f>
        <v>1.7</v>
      </c>
      <c r="I67" s="6" t="s">
        <v>859</v>
      </c>
      <c r="K67" s="19">
        <f>+E67*G67</f>
        <v>69.070999999999998</v>
      </c>
      <c r="L67" s="6" t="s">
        <v>865</v>
      </c>
    </row>
    <row r="68" spans="1:20">
      <c r="D68" s="6" t="s">
        <v>879</v>
      </c>
      <c r="I68" s="6" t="s">
        <v>859</v>
      </c>
      <c r="K68" s="15">
        <f>+ROUNDDOWN(K63+K67,2)</f>
        <v>139</v>
      </c>
      <c r="L68" s="6" t="s">
        <v>865</v>
      </c>
    </row>
    <row r="69" spans="1:20">
      <c r="B69" s="9">
        <v>6.4</v>
      </c>
      <c r="C69" s="6" t="s">
        <v>902</v>
      </c>
    </row>
    <row r="70" spans="1:20">
      <c r="C70" s="6" t="s">
        <v>899</v>
      </c>
      <c r="I70" s="6" t="s">
        <v>859</v>
      </c>
      <c r="K70" s="9">
        <f>+[4]อัตราราคาระเบิดหิน!$D$45</f>
        <v>184.51</v>
      </c>
      <c r="L70" s="6" t="s">
        <v>865</v>
      </c>
    </row>
    <row r="71" spans="1:20">
      <c r="C71" s="6" t="s">
        <v>890</v>
      </c>
      <c r="I71" s="6" t="s">
        <v>859</v>
      </c>
      <c r="J71" s="9">
        <f>+[4]อัตราราคางานดิน!$G$27</f>
        <v>40.630000000000003</v>
      </c>
      <c r="L71" s="6" t="s">
        <v>865</v>
      </c>
      <c r="M71" s="6" t="s">
        <v>868</v>
      </c>
    </row>
    <row r="72" spans="1:20">
      <c r="C72" s="6" t="s">
        <v>870</v>
      </c>
      <c r="D72" s="13">
        <v>0</v>
      </c>
      <c r="E72" s="6" t="s">
        <v>871</v>
      </c>
      <c r="I72" s="6" t="s">
        <v>859</v>
      </c>
      <c r="J72" s="14">
        <v>0</v>
      </c>
      <c r="L72" s="6" t="s">
        <v>865</v>
      </c>
      <c r="M72" s="6" t="s">
        <v>868</v>
      </c>
      <c r="O72" s="338" t="s">
        <v>873</v>
      </c>
      <c r="P72" s="339"/>
      <c r="Q72" s="340"/>
      <c r="T72" s="15">
        <f>'[4]วัสดุ+ค่าขนส่ง'!J4</f>
        <v>22.17</v>
      </c>
    </row>
    <row r="73" spans="1:20">
      <c r="D73" s="6" t="s">
        <v>874</v>
      </c>
      <c r="I73" s="6" t="s">
        <v>859</v>
      </c>
      <c r="J73" s="9">
        <f>+J71+J72</f>
        <v>40.630000000000003</v>
      </c>
      <c r="L73" s="6" t="s">
        <v>865</v>
      </c>
      <c r="M73" s="6" t="s">
        <v>868</v>
      </c>
    </row>
    <row r="74" spans="1:20">
      <c r="C74" s="6" t="s">
        <v>876</v>
      </c>
      <c r="E74" s="19">
        <f>+J73</f>
        <v>40.630000000000003</v>
      </c>
      <c r="F74" s="6" t="s">
        <v>877</v>
      </c>
      <c r="G74" s="16">
        <f>'[4]ส่วนขยาย ยุบตัว'!C13</f>
        <v>1.7</v>
      </c>
      <c r="I74" s="6" t="s">
        <v>859</v>
      </c>
      <c r="K74" s="19">
        <f>+E74*G74</f>
        <v>69.070999999999998</v>
      </c>
      <c r="L74" s="6" t="s">
        <v>865</v>
      </c>
    </row>
    <row r="75" spans="1:20">
      <c r="D75" s="6" t="s">
        <v>879</v>
      </c>
      <c r="I75" s="6" t="s">
        <v>859</v>
      </c>
      <c r="K75" s="15">
        <f>+ROUNDDOWN(K70+K74,2)</f>
        <v>253.58</v>
      </c>
      <c r="L75" s="6" t="s">
        <v>865</v>
      </c>
    </row>
    <row r="76" spans="1:20">
      <c r="B76" s="9">
        <v>6.5</v>
      </c>
      <c r="C76" s="6" t="s">
        <v>903</v>
      </c>
    </row>
    <row r="77" spans="1:20">
      <c r="B77" s="9"/>
      <c r="C77" s="6" t="s">
        <v>899</v>
      </c>
      <c r="I77" s="6" t="s">
        <v>859</v>
      </c>
      <c r="K77" s="9">
        <f>+[4]อัตราราคาระเบิดหิน!$D$47</f>
        <v>149.76</v>
      </c>
      <c r="L77" s="6" t="s">
        <v>865</v>
      </c>
    </row>
    <row r="78" spans="1:20">
      <c r="A78" s="20"/>
      <c r="B78" s="9"/>
      <c r="C78" s="6" t="s">
        <v>890</v>
      </c>
      <c r="I78" s="6" t="s">
        <v>859</v>
      </c>
      <c r="J78" s="9">
        <f>+[4]อัตราราคางานดิน!$G$27</f>
        <v>40.630000000000003</v>
      </c>
      <c r="L78" s="6" t="s">
        <v>865</v>
      </c>
      <c r="M78" s="6" t="s">
        <v>868</v>
      </c>
    </row>
    <row r="79" spans="1:20">
      <c r="B79" s="9"/>
      <c r="C79" s="6" t="s">
        <v>870</v>
      </c>
      <c r="D79" s="13">
        <v>0</v>
      </c>
      <c r="E79" s="6" t="s">
        <v>871</v>
      </c>
      <c r="I79" s="6" t="s">
        <v>859</v>
      </c>
      <c r="J79" s="14">
        <v>0</v>
      </c>
      <c r="L79" s="6" t="s">
        <v>865</v>
      </c>
      <c r="M79" s="6" t="s">
        <v>868</v>
      </c>
      <c r="O79" s="338" t="s">
        <v>873</v>
      </c>
      <c r="P79" s="339"/>
      <c r="Q79" s="340"/>
      <c r="T79" s="15">
        <f>'[4]วัสดุ+ค่าขนส่ง'!J4</f>
        <v>22.17</v>
      </c>
    </row>
    <row r="80" spans="1:20">
      <c r="B80" s="9"/>
      <c r="D80" s="6" t="s">
        <v>874</v>
      </c>
      <c r="I80" s="6" t="s">
        <v>859</v>
      </c>
      <c r="J80" s="9">
        <f>+J78+J79</f>
        <v>40.630000000000003</v>
      </c>
      <c r="L80" s="6" t="s">
        <v>865</v>
      </c>
      <c r="M80" s="6" t="s">
        <v>868</v>
      </c>
    </row>
    <row r="81" spans="1:20">
      <c r="B81" s="9"/>
      <c r="C81" s="6" t="s">
        <v>876</v>
      </c>
      <c r="E81" s="19">
        <f>+J80</f>
        <v>40.630000000000003</v>
      </c>
      <c r="F81" s="6" t="s">
        <v>877</v>
      </c>
      <c r="G81" s="16">
        <f>'[4]ส่วนขยาย ยุบตัว'!C13</f>
        <v>1.7</v>
      </c>
      <c r="I81" s="6" t="s">
        <v>859</v>
      </c>
      <c r="K81" s="19">
        <f>+E81*G81</f>
        <v>69.070999999999998</v>
      </c>
      <c r="L81" s="6" t="s">
        <v>865</v>
      </c>
    </row>
    <row r="82" spans="1:20">
      <c r="B82" s="9"/>
      <c r="D82" s="6" t="s">
        <v>879</v>
      </c>
      <c r="I82" s="6" t="s">
        <v>859</v>
      </c>
      <c r="K82" s="15">
        <f>+ROUNDDOWN(K77+K81,2)</f>
        <v>218.83</v>
      </c>
      <c r="L82" s="6" t="s">
        <v>865</v>
      </c>
    </row>
    <row r="83" spans="1:20">
      <c r="B83" s="9">
        <v>6.6</v>
      </c>
      <c r="C83" s="6" t="s">
        <v>904</v>
      </c>
    </row>
    <row r="84" spans="1:20">
      <c r="C84" s="6" t="s">
        <v>899</v>
      </c>
      <c r="I84" s="6" t="s">
        <v>859</v>
      </c>
      <c r="K84" s="9">
        <f>+[4]อัตราราคาระเบิดหิน!$D$49</f>
        <v>150.5</v>
      </c>
      <c r="L84" s="6" t="s">
        <v>865</v>
      </c>
    </row>
    <row r="85" spans="1:20">
      <c r="C85" s="6" t="s">
        <v>890</v>
      </c>
      <c r="I85" s="6" t="s">
        <v>859</v>
      </c>
      <c r="J85" s="9">
        <f>+[4]อัตราราคางานดิน!$G$27</f>
        <v>40.630000000000003</v>
      </c>
      <c r="L85" s="6" t="s">
        <v>865</v>
      </c>
      <c r="M85" s="6" t="s">
        <v>868</v>
      </c>
    </row>
    <row r="86" spans="1:20">
      <c r="C86" s="6" t="s">
        <v>870</v>
      </c>
      <c r="D86" s="13">
        <v>0</v>
      </c>
      <c r="E86" s="6" t="s">
        <v>871</v>
      </c>
      <c r="I86" s="6" t="s">
        <v>859</v>
      </c>
      <c r="J86" s="14">
        <v>0</v>
      </c>
      <c r="L86" s="6" t="s">
        <v>865</v>
      </c>
      <c r="M86" s="6" t="s">
        <v>868</v>
      </c>
      <c r="O86" s="338" t="s">
        <v>873</v>
      </c>
      <c r="P86" s="339"/>
      <c r="Q86" s="340"/>
      <c r="T86" s="15">
        <f>'[4]วัสดุ+ค่าขนส่ง'!J4</f>
        <v>22.17</v>
      </c>
    </row>
    <row r="87" spans="1:20">
      <c r="D87" s="6" t="s">
        <v>874</v>
      </c>
      <c r="I87" s="6" t="s">
        <v>859</v>
      </c>
      <c r="J87" s="9">
        <f>+J85+J86</f>
        <v>40.630000000000003</v>
      </c>
      <c r="L87" s="6" t="s">
        <v>865</v>
      </c>
      <c r="M87" s="6" t="s">
        <v>868</v>
      </c>
    </row>
    <row r="88" spans="1:20">
      <c r="C88" s="6" t="s">
        <v>876</v>
      </c>
      <c r="E88" s="19">
        <f>+J87</f>
        <v>40.630000000000003</v>
      </c>
      <c r="F88" s="6" t="s">
        <v>877</v>
      </c>
      <c r="G88" s="16">
        <f>'[4]ส่วนขยาย ยุบตัว'!C13</f>
        <v>1.7</v>
      </c>
      <c r="I88" s="6" t="s">
        <v>859</v>
      </c>
      <c r="K88" s="19">
        <f>+E88*G88</f>
        <v>69.070999999999998</v>
      </c>
      <c r="L88" s="6" t="s">
        <v>865</v>
      </c>
    </row>
    <row r="89" spans="1:20">
      <c r="D89" s="6" t="s">
        <v>879</v>
      </c>
      <c r="I89" s="6" t="s">
        <v>859</v>
      </c>
      <c r="K89" s="15">
        <f>+ROUNDDOWN(K84+K88,2)</f>
        <v>219.57</v>
      </c>
      <c r="L89" s="6" t="s">
        <v>865</v>
      </c>
    </row>
    <row r="90" spans="1:20">
      <c r="A90" s="7">
        <v>7</v>
      </c>
      <c r="B90" s="8" t="s">
        <v>905</v>
      </c>
    </row>
    <row r="91" spans="1:20">
      <c r="B91" s="9">
        <v>7.1</v>
      </c>
      <c r="C91" s="6" t="s">
        <v>906</v>
      </c>
    </row>
    <row r="92" spans="1:20">
      <c r="C92" s="6" t="s">
        <v>907</v>
      </c>
      <c r="I92" s="6" t="s">
        <v>859</v>
      </c>
      <c r="J92" s="17" t="s">
        <v>908</v>
      </c>
      <c r="K92" s="16">
        <f>[4]อัตราค่าจ้างขั้นต่ำ!G4</f>
        <v>400</v>
      </c>
      <c r="L92" s="6" t="s">
        <v>865</v>
      </c>
    </row>
    <row r="93" spans="1:20">
      <c r="D93" s="6" t="s">
        <v>861</v>
      </c>
      <c r="I93" s="6" t="s">
        <v>859</v>
      </c>
      <c r="K93" s="6">
        <f>+ROUNDDOWN(K92,2)</f>
        <v>400</v>
      </c>
      <c r="L93" s="6" t="s">
        <v>865</v>
      </c>
    </row>
    <row r="94" spans="1:20">
      <c r="A94" s="8"/>
      <c r="B94" s="8" t="s">
        <v>884</v>
      </c>
      <c r="C94" s="6" t="s">
        <v>909</v>
      </c>
    </row>
    <row r="95" spans="1:20">
      <c r="C95" s="6" t="s">
        <v>910</v>
      </c>
    </row>
    <row r="96" spans="1:20">
      <c r="C96" s="6" t="s">
        <v>911</v>
      </c>
    </row>
    <row r="97" spans="2:20">
      <c r="B97" s="9">
        <v>7.2</v>
      </c>
      <c r="C97" s="6" t="s">
        <v>912</v>
      </c>
    </row>
    <row r="98" spans="2:20">
      <c r="B98" s="9"/>
      <c r="C98" s="6" t="s">
        <v>858</v>
      </c>
      <c r="I98" s="6" t="s">
        <v>859</v>
      </c>
      <c r="J98" s="17"/>
      <c r="K98" s="6">
        <f>[4]ค่าบดอัดเบา!D6</f>
        <v>113.57</v>
      </c>
      <c r="L98" s="6" t="s">
        <v>865</v>
      </c>
    </row>
    <row r="99" spans="2:20">
      <c r="B99" s="9"/>
      <c r="D99" s="6" t="s">
        <v>861</v>
      </c>
      <c r="I99" s="6" t="s">
        <v>859</v>
      </c>
      <c r="K99" s="6">
        <f>+ROUNDDOWN(K98,2)</f>
        <v>113.57</v>
      </c>
      <c r="L99" s="6" t="s">
        <v>865</v>
      </c>
    </row>
    <row r="100" spans="2:20">
      <c r="B100" s="9">
        <v>7.3</v>
      </c>
      <c r="C100" s="6" t="s">
        <v>913</v>
      </c>
    </row>
    <row r="101" spans="2:20">
      <c r="C101" s="6" t="s">
        <v>914</v>
      </c>
    </row>
    <row r="102" spans="2:20">
      <c r="C102" s="6" t="s">
        <v>915</v>
      </c>
    </row>
    <row r="103" spans="2:20">
      <c r="B103" s="6">
        <v>1</v>
      </c>
      <c r="C103" s="6" t="s">
        <v>916</v>
      </c>
    </row>
    <row r="104" spans="2:20">
      <c r="C104" s="6" t="s">
        <v>917</v>
      </c>
      <c r="I104" s="6" t="s">
        <v>859</v>
      </c>
      <c r="K104" s="19">
        <f>'[4]วัสดุ+ค่าขนส่ง'!I75</f>
        <v>932.02</v>
      </c>
      <c r="L104" s="6" t="s">
        <v>865</v>
      </c>
      <c r="M104" s="6" t="s">
        <v>868</v>
      </c>
    </row>
    <row r="105" spans="2:20">
      <c r="C105" s="6" t="s">
        <v>870</v>
      </c>
      <c r="D105" s="13">
        <v>0</v>
      </c>
      <c r="E105" s="6" t="s">
        <v>871</v>
      </c>
      <c r="I105" s="6" t="s">
        <v>859</v>
      </c>
      <c r="K105" s="14">
        <v>0</v>
      </c>
      <c r="L105" s="6" t="s">
        <v>865</v>
      </c>
      <c r="M105" s="6" t="s">
        <v>868</v>
      </c>
      <c r="O105" s="338" t="s">
        <v>873</v>
      </c>
      <c r="P105" s="339"/>
      <c r="Q105" s="340"/>
      <c r="T105" s="15">
        <f>'[4]วัสดุ+ค่าขนส่ง'!J4</f>
        <v>22.17</v>
      </c>
    </row>
    <row r="106" spans="2:20">
      <c r="D106" s="6" t="s">
        <v>918</v>
      </c>
      <c r="I106" s="6" t="s">
        <v>859</v>
      </c>
      <c r="K106" s="16">
        <f>+ROUNDDOWN(K104+K105,2)</f>
        <v>932.02</v>
      </c>
      <c r="L106" s="6" t="s">
        <v>865</v>
      </c>
      <c r="M106" s="6" t="s">
        <v>868</v>
      </c>
    </row>
    <row r="107" spans="2:20">
      <c r="B107" s="6">
        <v>2</v>
      </c>
      <c r="C107" s="6" t="s">
        <v>919</v>
      </c>
    </row>
    <row r="108" spans="2:20">
      <c r="C108" s="6" t="s">
        <v>920</v>
      </c>
      <c r="I108" s="6" t="s">
        <v>859</v>
      </c>
      <c r="K108" s="16">
        <f>K106</f>
        <v>932.02</v>
      </c>
      <c r="L108" s="6" t="s">
        <v>865</v>
      </c>
      <c r="M108" s="6" t="s">
        <v>868</v>
      </c>
    </row>
    <row r="109" spans="2:20">
      <c r="B109" s="6">
        <v>3</v>
      </c>
      <c r="C109" s="6" t="s">
        <v>921</v>
      </c>
    </row>
    <row r="110" spans="2:20">
      <c r="C110" s="6" t="s">
        <v>922</v>
      </c>
      <c r="I110" s="6" t="s">
        <v>859</v>
      </c>
      <c r="J110" s="21">
        <f>5000*400</f>
        <v>2000000</v>
      </c>
      <c r="K110" s="21"/>
    </row>
    <row r="111" spans="2:20">
      <c r="J111" s="342" t="s">
        <v>923</v>
      </c>
      <c r="K111" s="342"/>
    </row>
    <row r="112" spans="2:20">
      <c r="I112" s="6" t="s">
        <v>859</v>
      </c>
      <c r="K112" s="22">
        <f>(J110*0.5)/((1600*3)*1.25)</f>
        <v>166.66666666666666</v>
      </c>
      <c r="L112" s="6" t="s">
        <v>865</v>
      </c>
      <c r="M112" s="6" t="s">
        <v>868</v>
      </c>
    </row>
    <row r="113" spans="2:20">
      <c r="C113" s="6" t="s">
        <v>924</v>
      </c>
      <c r="I113" s="6" t="s">
        <v>859</v>
      </c>
      <c r="J113" s="21" t="s">
        <v>925</v>
      </c>
      <c r="K113" s="21"/>
    </row>
    <row r="114" spans="2:20">
      <c r="J114" s="342" t="s">
        <v>926</v>
      </c>
      <c r="K114" s="342"/>
    </row>
    <row r="115" spans="2:20">
      <c r="I115" s="6" t="s">
        <v>859</v>
      </c>
      <c r="K115" s="22">
        <f>+(0.3*[4]อัตราราคางานดิน!$G$15)/(3*1.25)</f>
        <v>1.4783999999999999</v>
      </c>
      <c r="L115" s="6" t="s">
        <v>865</v>
      </c>
      <c r="M115" s="6" t="s">
        <v>868</v>
      </c>
    </row>
    <row r="116" spans="2:20">
      <c r="C116" s="6" t="s">
        <v>927</v>
      </c>
      <c r="I116" s="6" t="s">
        <v>859</v>
      </c>
      <c r="K116" s="22">
        <f>+[4]อัตราราคางานดิน!$G$16</f>
        <v>18.59</v>
      </c>
      <c r="L116" s="6" t="s">
        <v>865</v>
      </c>
    </row>
    <row r="117" spans="2:20">
      <c r="C117" s="6" t="s">
        <v>928</v>
      </c>
      <c r="I117" s="6" t="s">
        <v>859</v>
      </c>
      <c r="K117" s="22">
        <f>'[4]ส่วนขยาย ยุบตัว'!C7</f>
        <v>1.25</v>
      </c>
      <c r="L117" s="6" t="s">
        <v>865</v>
      </c>
    </row>
    <row r="118" spans="2:20">
      <c r="C118" s="6" t="s">
        <v>929</v>
      </c>
      <c r="I118" s="6" t="s">
        <v>859</v>
      </c>
      <c r="K118" s="22">
        <f>K116/K117</f>
        <v>14.872</v>
      </c>
      <c r="L118" s="6" t="s">
        <v>865</v>
      </c>
      <c r="M118" s="6" t="s">
        <v>868</v>
      </c>
    </row>
    <row r="119" spans="2:20">
      <c r="C119" s="6" t="s">
        <v>870</v>
      </c>
      <c r="D119" s="13">
        <v>5</v>
      </c>
      <c r="E119" s="6" t="s">
        <v>871</v>
      </c>
      <c r="I119" s="6" t="s">
        <v>859</v>
      </c>
      <c r="K119" s="23">
        <f>T119</f>
        <v>22.17</v>
      </c>
      <c r="L119" s="6" t="s">
        <v>865</v>
      </c>
      <c r="M119" s="6" t="s">
        <v>868</v>
      </c>
      <c r="O119" s="338" t="s">
        <v>873</v>
      </c>
      <c r="P119" s="339"/>
      <c r="Q119" s="340"/>
      <c r="T119" s="15">
        <f>'[4]วัสดุ+ค่าขนส่ง'!J4</f>
        <v>22.17</v>
      </c>
    </row>
    <row r="120" spans="2:20">
      <c r="D120" s="6" t="s">
        <v>930</v>
      </c>
      <c r="I120" s="6" t="s">
        <v>859</v>
      </c>
      <c r="K120" s="22">
        <f>+ROUNDDOWN((K112+K115+K118+K119),2)</f>
        <v>205.18</v>
      </c>
      <c r="L120" s="6" t="s">
        <v>865</v>
      </c>
      <c r="M120" s="6" t="s">
        <v>868</v>
      </c>
    </row>
    <row r="121" spans="2:20">
      <c r="B121" s="8" t="s">
        <v>931</v>
      </c>
    </row>
    <row r="122" spans="2:20">
      <c r="C122" s="6" t="s">
        <v>932</v>
      </c>
      <c r="I122" s="6" t="s">
        <v>859</v>
      </c>
      <c r="J122" s="19">
        <f>SMALL((K106,K108,K120),1)</f>
        <v>205.18</v>
      </c>
      <c r="L122" s="6" t="s">
        <v>865</v>
      </c>
      <c r="M122" s="6" t="s">
        <v>868</v>
      </c>
    </row>
    <row r="123" spans="2:20">
      <c r="C123" s="6" t="s">
        <v>933</v>
      </c>
      <c r="E123" s="9">
        <f>+J122</f>
        <v>205.18</v>
      </c>
      <c r="F123" s="6" t="s">
        <v>934</v>
      </c>
      <c r="G123" s="16">
        <f>'[4]ส่วนขยาย ยุบตัว'!D7</f>
        <v>1.4</v>
      </c>
      <c r="I123" s="6" t="s">
        <v>859</v>
      </c>
      <c r="K123" s="22">
        <f>+E123*G123</f>
        <v>287.25200000000001</v>
      </c>
      <c r="L123" s="6" t="s">
        <v>865</v>
      </c>
    </row>
    <row r="124" spans="2:20">
      <c r="C124" s="6" t="s">
        <v>935</v>
      </c>
      <c r="I124" s="6" t="s">
        <v>859</v>
      </c>
      <c r="K124" s="22">
        <f>+[4]อัตราราคางานดิน!$G$29</f>
        <v>43.02</v>
      </c>
      <c r="L124" s="6" t="s">
        <v>865</v>
      </c>
    </row>
    <row r="125" spans="2:20">
      <c r="D125" s="6" t="s">
        <v>891</v>
      </c>
      <c r="I125" s="6" t="s">
        <v>859</v>
      </c>
      <c r="K125" s="18">
        <f>+ROUNDDOWN(K123+K124,2)</f>
        <v>330.27</v>
      </c>
      <c r="L125" s="6" t="s">
        <v>865</v>
      </c>
    </row>
    <row r="126" spans="2:20">
      <c r="B126" s="8" t="s">
        <v>884</v>
      </c>
      <c r="C126" s="6" t="s">
        <v>936</v>
      </c>
    </row>
    <row r="127" spans="2:20">
      <c r="C127" s="6" t="s">
        <v>937</v>
      </c>
    </row>
    <row r="128" spans="2:20">
      <c r="C128" s="24" t="s">
        <v>938</v>
      </c>
    </row>
    <row r="129" spans="2:20">
      <c r="C129" s="6" t="s">
        <v>915</v>
      </c>
    </row>
    <row r="130" spans="2:20">
      <c r="B130" s="6">
        <v>1</v>
      </c>
      <c r="C130" s="6" t="s">
        <v>916</v>
      </c>
    </row>
    <row r="131" spans="2:20">
      <c r="C131" s="6" t="s">
        <v>917</v>
      </c>
      <c r="I131" s="6" t="s">
        <v>859</v>
      </c>
      <c r="K131" s="19">
        <f>K104</f>
        <v>932.02</v>
      </c>
      <c r="L131" s="6" t="s">
        <v>865</v>
      </c>
      <c r="M131" s="6" t="s">
        <v>868</v>
      </c>
    </row>
    <row r="132" spans="2:20">
      <c r="C132" s="6" t="s">
        <v>870</v>
      </c>
      <c r="D132" s="13">
        <v>5</v>
      </c>
      <c r="E132" s="6" t="s">
        <v>871</v>
      </c>
      <c r="I132" s="6" t="s">
        <v>859</v>
      </c>
      <c r="K132" s="23">
        <f>T132</f>
        <v>22.17</v>
      </c>
      <c r="L132" s="6" t="s">
        <v>865</v>
      </c>
      <c r="M132" s="6" t="s">
        <v>868</v>
      </c>
      <c r="O132" s="338" t="s">
        <v>873</v>
      </c>
      <c r="P132" s="339"/>
      <c r="Q132" s="340"/>
      <c r="T132" s="15">
        <f>'[4]วัสดุ+ค่าขนส่ง'!J4</f>
        <v>22.17</v>
      </c>
    </row>
    <row r="133" spans="2:20">
      <c r="D133" s="6" t="s">
        <v>918</v>
      </c>
      <c r="I133" s="6" t="s">
        <v>859</v>
      </c>
      <c r="K133" s="16">
        <f>+ROUNDDOWN(K131+K132,2)</f>
        <v>954.19</v>
      </c>
      <c r="L133" s="6" t="s">
        <v>865</v>
      </c>
      <c r="M133" s="6" t="s">
        <v>868</v>
      </c>
    </row>
    <row r="134" spans="2:20">
      <c r="B134" s="6">
        <v>2</v>
      </c>
      <c r="C134" s="6" t="s">
        <v>919</v>
      </c>
    </row>
    <row r="135" spans="2:20">
      <c r="C135" s="6" t="s">
        <v>920</v>
      </c>
      <c r="I135" s="6" t="s">
        <v>859</v>
      </c>
      <c r="K135" s="16">
        <f>K133</f>
        <v>954.19</v>
      </c>
      <c r="L135" s="6" t="s">
        <v>865</v>
      </c>
      <c r="M135" s="6" t="s">
        <v>868</v>
      </c>
    </row>
    <row r="136" spans="2:20">
      <c r="B136" s="6">
        <v>3</v>
      </c>
      <c r="C136" s="6" t="s">
        <v>921</v>
      </c>
    </row>
    <row r="137" spans="2:20">
      <c r="C137" s="6" t="s">
        <v>922</v>
      </c>
      <c r="I137" s="6" t="s">
        <v>859</v>
      </c>
      <c r="J137" s="21" t="s">
        <v>939</v>
      </c>
      <c r="K137" s="21"/>
    </row>
    <row r="138" spans="2:20">
      <c r="J138" s="342" t="s">
        <v>923</v>
      </c>
      <c r="K138" s="342"/>
    </row>
    <row r="139" spans="2:20">
      <c r="I139" s="6" t="s">
        <v>859</v>
      </c>
      <c r="K139" s="22">
        <f>(J110*0.5)/((1600*3)*1.25)</f>
        <v>166.66666666666666</v>
      </c>
      <c r="L139" s="6" t="s">
        <v>865</v>
      </c>
      <c r="M139" s="6" t="s">
        <v>868</v>
      </c>
    </row>
    <row r="140" spans="2:20">
      <c r="C140" s="6" t="s">
        <v>924</v>
      </c>
      <c r="I140" s="6" t="s">
        <v>859</v>
      </c>
      <c r="J140" s="21" t="s">
        <v>925</v>
      </c>
      <c r="K140" s="21"/>
    </row>
    <row r="141" spans="2:20">
      <c r="J141" s="342" t="s">
        <v>926</v>
      </c>
      <c r="K141" s="342"/>
    </row>
    <row r="142" spans="2:20">
      <c r="I142" s="6" t="s">
        <v>859</v>
      </c>
      <c r="K142" s="22">
        <f>+(0.3*[4]อัตราราคางานดิน!$G$15)/(3*1.25)</f>
        <v>1.4783999999999999</v>
      </c>
      <c r="L142" s="6" t="s">
        <v>865</v>
      </c>
      <c r="M142" s="6" t="s">
        <v>868</v>
      </c>
    </row>
    <row r="143" spans="2:20">
      <c r="C143" s="6" t="s">
        <v>940</v>
      </c>
      <c r="I143" s="6" t="s">
        <v>859</v>
      </c>
      <c r="K143" s="25">
        <f>[4]อัตราราคางานดิน!G16/'[4]ส่วนขยาย ยุบตัว'!C8</f>
        <v>14.872</v>
      </c>
      <c r="L143" s="6" t="s">
        <v>865</v>
      </c>
      <c r="M143" s="6" t="s">
        <v>868</v>
      </c>
    </row>
    <row r="144" spans="2:20">
      <c r="C144" s="6" t="s">
        <v>870</v>
      </c>
      <c r="D144" s="13">
        <v>5</v>
      </c>
      <c r="E144" s="6" t="s">
        <v>871</v>
      </c>
      <c r="I144" s="6" t="s">
        <v>859</v>
      </c>
      <c r="K144" s="23">
        <f>T144</f>
        <v>22.17</v>
      </c>
      <c r="L144" s="6" t="s">
        <v>865</v>
      </c>
      <c r="M144" s="6" t="s">
        <v>868</v>
      </c>
      <c r="O144" s="338" t="s">
        <v>873</v>
      </c>
      <c r="P144" s="339"/>
      <c r="Q144" s="340"/>
      <c r="T144" s="15">
        <f>'[4]วัสดุ+ค่าขนส่ง'!J4</f>
        <v>22.17</v>
      </c>
    </row>
    <row r="145" spans="2:20">
      <c r="D145" s="6" t="s">
        <v>941</v>
      </c>
      <c r="I145" s="6" t="s">
        <v>859</v>
      </c>
      <c r="K145" s="22">
        <f>+K139+K142+K143+K144</f>
        <v>205.18706666666668</v>
      </c>
      <c r="L145" s="6" t="s">
        <v>865</v>
      </c>
      <c r="M145" s="6" t="s">
        <v>868</v>
      </c>
    </row>
    <row r="146" spans="2:20">
      <c r="B146" s="8" t="s">
        <v>931</v>
      </c>
    </row>
    <row r="147" spans="2:20">
      <c r="C147" s="6" t="s">
        <v>932</v>
      </c>
      <c r="I147" s="6" t="s">
        <v>859</v>
      </c>
      <c r="J147" s="19">
        <f>SMALL((K133,K135,K145),1)</f>
        <v>205.18706666666668</v>
      </c>
      <c r="L147" s="6" t="s">
        <v>865</v>
      </c>
      <c r="M147" s="6" t="s">
        <v>868</v>
      </c>
    </row>
    <row r="148" spans="2:20">
      <c r="C148" s="6" t="s">
        <v>933</v>
      </c>
      <c r="E148" s="22">
        <f>+J147</f>
        <v>205.18706666666668</v>
      </c>
      <c r="F148" s="6" t="s">
        <v>934</v>
      </c>
      <c r="G148" s="16">
        <f>'[4]ส่วนขยาย ยุบตัว'!D8</f>
        <v>1.6</v>
      </c>
      <c r="I148" s="6" t="s">
        <v>859</v>
      </c>
      <c r="K148" s="22">
        <f>+E148*G148</f>
        <v>328.29930666666672</v>
      </c>
      <c r="L148" s="6" t="s">
        <v>865</v>
      </c>
    </row>
    <row r="149" spans="2:20">
      <c r="C149" s="6" t="s">
        <v>935</v>
      </c>
      <c r="I149" s="6" t="s">
        <v>859</v>
      </c>
      <c r="K149" s="22">
        <f>+[4]อัตราราคางานดิน!$G$30</f>
        <v>46.6</v>
      </c>
      <c r="L149" s="6" t="s">
        <v>865</v>
      </c>
    </row>
    <row r="150" spans="2:20">
      <c r="D150" s="6" t="s">
        <v>891</v>
      </c>
      <c r="I150" s="6" t="s">
        <v>859</v>
      </c>
      <c r="K150" s="18">
        <f>+ROUNDDOWN(K148+K149,2)</f>
        <v>374.89</v>
      </c>
      <c r="L150" s="6" t="s">
        <v>865</v>
      </c>
    </row>
    <row r="151" spans="2:20">
      <c r="B151" s="8" t="s">
        <v>884</v>
      </c>
      <c r="C151" s="6" t="s">
        <v>936</v>
      </c>
    </row>
    <row r="152" spans="2:20">
      <c r="C152" s="6" t="s">
        <v>937</v>
      </c>
    </row>
    <row r="153" spans="2:20">
      <c r="C153" s="24" t="s">
        <v>942</v>
      </c>
    </row>
    <row r="154" spans="2:20">
      <c r="C154" s="6" t="s">
        <v>915</v>
      </c>
    </row>
    <row r="155" spans="2:20">
      <c r="B155" s="9">
        <v>1</v>
      </c>
      <c r="C155" s="6" t="s">
        <v>916</v>
      </c>
    </row>
    <row r="156" spans="2:20">
      <c r="B156" s="9"/>
      <c r="C156" s="6" t="s">
        <v>917</v>
      </c>
      <c r="I156" s="6" t="s">
        <v>859</v>
      </c>
      <c r="K156" s="19">
        <f>K131</f>
        <v>932.02</v>
      </c>
      <c r="L156" s="6" t="s">
        <v>865</v>
      </c>
      <c r="M156" s="6" t="s">
        <v>868</v>
      </c>
    </row>
    <row r="157" spans="2:20">
      <c r="B157" s="9"/>
      <c r="C157" s="6" t="s">
        <v>870</v>
      </c>
      <c r="D157" s="13">
        <v>5</v>
      </c>
      <c r="E157" s="6" t="s">
        <v>871</v>
      </c>
      <c r="I157" s="6" t="s">
        <v>859</v>
      </c>
      <c r="K157" s="23">
        <f>T157</f>
        <v>22.17</v>
      </c>
      <c r="L157" s="6" t="s">
        <v>865</v>
      </c>
      <c r="M157" s="6" t="s">
        <v>868</v>
      </c>
      <c r="O157" s="338" t="s">
        <v>873</v>
      </c>
      <c r="P157" s="339"/>
      <c r="Q157" s="340"/>
      <c r="T157" s="15">
        <f>'[4]วัสดุ+ค่าขนส่ง'!J4</f>
        <v>22.17</v>
      </c>
    </row>
    <row r="158" spans="2:20">
      <c r="B158" s="9"/>
      <c r="D158" s="6" t="s">
        <v>918</v>
      </c>
      <c r="I158" s="6" t="s">
        <v>859</v>
      </c>
      <c r="K158" s="16">
        <f>+ROUNDDOWN(K156+K157,2)</f>
        <v>954.19</v>
      </c>
      <c r="L158" s="6" t="s">
        <v>865</v>
      </c>
      <c r="M158" s="6" t="s">
        <v>868</v>
      </c>
    </row>
    <row r="159" spans="2:20">
      <c r="B159" s="9">
        <v>2</v>
      </c>
      <c r="C159" s="6" t="s">
        <v>919</v>
      </c>
    </row>
    <row r="160" spans="2:20">
      <c r="B160" s="9"/>
      <c r="C160" s="6" t="s">
        <v>920</v>
      </c>
      <c r="I160" s="6" t="s">
        <v>859</v>
      </c>
      <c r="K160" s="16">
        <f>K135</f>
        <v>954.19</v>
      </c>
      <c r="L160" s="6" t="s">
        <v>865</v>
      </c>
      <c r="M160" s="6" t="s">
        <v>868</v>
      </c>
    </row>
    <row r="161" spans="2:20">
      <c r="B161" s="9">
        <v>3</v>
      </c>
      <c r="C161" s="6" t="s">
        <v>921</v>
      </c>
    </row>
    <row r="162" spans="2:20">
      <c r="C162" s="6" t="s">
        <v>922</v>
      </c>
      <c r="I162" s="6" t="s">
        <v>859</v>
      </c>
      <c r="J162" s="21" t="s">
        <v>939</v>
      </c>
      <c r="K162" s="21"/>
    </row>
    <row r="163" spans="2:20">
      <c r="J163" s="342" t="s">
        <v>923</v>
      </c>
      <c r="K163" s="342"/>
    </row>
    <row r="164" spans="2:20">
      <c r="I164" s="6" t="s">
        <v>859</v>
      </c>
      <c r="K164" s="22">
        <f>(J110*0.5)/((1600*3)*1.25)</f>
        <v>166.66666666666666</v>
      </c>
      <c r="L164" s="6" t="s">
        <v>865</v>
      </c>
      <c r="M164" s="6" t="s">
        <v>868</v>
      </c>
    </row>
    <row r="165" spans="2:20">
      <c r="C165" s="6" t="s">
        <v>924</v>
      </c>
      <c r="I165" s="6" t="s">
        <v>859</v>
      </c>
      <c r="J165" s="21" t="s">
        <v>925</v>
      </c>
      <c r="K165" s="21"/>
    </row>
    <row r="166" spans="2:20">
      <c r="J166" s="342" t="s">
        <v>926</v>
      </c>
      <c r="K166" s="342"/>
    </row>
    <row r="167" spans="2:20">
      <c r="I167" s="6" t="s">
        <v>859</v>
      </c>
      <c r="K167" s="22">
        <f>+(0.3*[4]อัตราราคางานดิน!$G$15)/(3*1.25)</f>
        <v>1.4783999999999999</v>
      </c>
      <c r="L167" s="6" t="s">
        <v>865</v>
      </c>
      <c r="M167" s="6" t="s">
        <v>868</v>
      </c>
    </row>
    <row r="168" spans="2:20">
      <c r="C168" s="6" t="s">
        <v>940</v>
      </c>
      <c r="I168" s="6" t="s">
        <v>859</v>
      </c>
      <c r="K168" s="19">
        <f>[4]อัตราราคางานดิน!G16/'[4]ส่วนขยาย ยุบตัว'!C10</f>
        <v>14.872</v>
      </c>
      <c r="L168" s="6" t="s">
        <v>865</v>
      </c>
      <c r="M168" s="6" t="s">
        <v>868</v>
      </c>
    </row>
    <row r="169" spans="2:20">
      <c r="C169" s="6" t="s">
        <v>870</v>
      </c>
      <c r="D169" s="13">
        <v>5</v>
      </c>
      <c r="E169" s="6" t="s">
        <v>871</v>
      </c>
      <c r="I169" s="6" t="s">
        <v>859</v>
      </c>
      <c r="K169" s="23">
        <f>T169</f>
        <v>22.17</v>
      </c>
      <c r="L169" s="6" t="s">
        <v>865</v>
      </c>
      <c r="M169" s="6" t="s">
        <v>868</v>
      </c>
      <c r="O169" s="338" t="s">
        <v>873</v>
      </c>
      <c r="P169" s="339"/>
      <c r="Q169" s="340"/>
      <c r="T169" s="15">
        <f>'[4]วัสดุ+ค่าขนส่ง'!J4</f>
        <v>22.17</v>
      </c>
    </row>
    <row r="170" spans="2:20">
      <c r="D170" s="6" t="s">
        <v>941</v>
      </c>
      <c r="I170" s="6" t="s">
        <v>859</v>
      </c>
      <c r="K170" s="22">
        <f>+K164+K167+K168+K169</f>
        <v>205.18706666666668</v>
      </c>
      <c r="L170" s="6" t="s">
        <v>865</v>
      </c>
      <c r="M170" s="6" t="s">
        <v>868</v>
      </c>
    </row>
    <row r="171" spans="2:20">
      <c r="B171" s="8" t="s">
        <v>931</v>
      </c>
    </row>
    <row r="172" spans="2:20">
      <c r="C172" s="6" t="s">
        <v>932</v>
      </c>
      <c r="I172" s="6" t="s">
        <v>859</v>
      </c>
      <c r="J172" s="19">
        <f>SMALL((K158,K160,K170),1)</f>
        <v>205.18706666666668</v>
      </c>
      <c r="L172" s="6" t="s">
        <v>865</v>
      </c>
      <c r="M172" s="6" t="s">
        <v>868</v>
      </c>
    </row>
    <row r="173" spans="2:20">
      <c r="C173" s="6" t="s">
        <v>933</v>
      </c>
      <c r="E173" s="22">
        <f>+J172</f>
        <v>205.18706666666668</v>
      </c>
      <c r="F173" s="6" t="s">
        <v>934</v>
      </c>
      <c r="G173" s="16">
        <f>'[4]ส่วนขยาย ยุบตัว'!D10</f>
        <v>1.5</v>
      </c>
      <c r="I173" s="6" t="s">
        <v>859</v>
      </c>
      <c r="K173" s="22">
        <f>+E173*G173</f>
        <v>307.78060000000005</v>
      </c>
      <c r="L173" s="6" t="s">
        <v>865</v>
      </c>
    </row>
    <row r="174" spans="2:20">
      <c r="C174" s="6" t="s">
        <v>935</v>
      </c>
      <c r="I174" s="6" t="s">
        <v>859</v>
      </c>
      <c r="K174" s="22">
        <f>+[4]อัตราราคางานดิน!$G$32</f>
        <v>47.49</v>
      </c>
      <c r="L174" s="6" t="s">
        <v>865</v>
      </c>
    </row>
    <row r="175" spans="2:20">
      <c r="D175" s="6" t="s">
        <v>891</v>
      </c>
      <c r="I175" s="6" t="s">
        <v>859</v>
      </c>
      <c r="K175" s="18">
        <f>+ROUNDDOWN(K173+K174,2)</f>
        <v>355.27</v>
      </c>
      <c r="L175" s="6" t="s">
        <v>865</v>
      </c>
    </row>
    <row r="176" spans="2:20">
      <c r="B176" s="8" t="s">
        <v>884</v>
      </c>
      <c r="C176" s="6" t="s">
        <v>936</v>
      </c>
    </row>
    <row r="177" spans="2:20">
      <c r="C177" s="6" t="s">
        <v>937</v>
      </c>
    </row>
    <row r="178" spans="2:20">
      <c r="C178" s="6" t="s">
        <v>943</v>
      </c>
    </row>
    <row r="179" spans="2:20">
      <c r="C179" s="6" t="s">
        <v>915</v>
      </c>
    </row>
    <row r="180" spans="2:20">
      <c r="B180" s="9">
        <v>1</v>
      </c>
      <c r="C180" s="6" t="s">
        <v>916</v>
      </c>
    </row>
    <row r="181" spans="2:20">
      <c r="B181" s="9"/>
      <c r="C181" s="6" t="s">
        <v>917</v>
      </c>
      <c r="I181" s="6" t="s">
        <v>859</v>
      </c>
      <c r="K181" s="19">
        <f>K156</f>
        <v>932.02</v>
      </c>
      <c r="L181" s="6" t="s">
        <v>865</v>
      </c>
      <c r="M181" s="6" t="s">
        <v>868</v>
      </c>
    </row>
    <row r="182" spans="2:20">
      <c r="B182" s="9"/>
      <c r="C182" s="6" t="s">
        <v>870</v>
      </c>
      <c r="D182" s="13">
        <v>5</v>
      </c>
      <c r="E182" s="6" t="s">
        <v>871</v>
      </c>
      <c r="I182" s="6" t="s">
        <v>859</v>
      </c>
      <c r="K182" s="23">
        <f>T182</f>
        <v>22.17</v>
      </c>
      <c r="L182" s="6" t="s">
        <v>865</v>
      </c>
      <c r="M182" s="6" t="s">
        <v>868</v>
      </c>
      <c r="O182" s="338" t="s">
        <v>873</v>
      </c>
      <c r="P182" s="339"/>
      <c r="Q182" s="340"/>
      <c r="T182" s="15">
        <f>'[4]วัสดุ+ค่าขนส่ง'!J4</f>
        <v>22.17</v>
      </c>
    </row>
    <row r="183" spans="2:20">
      <c r="B183" s="9"/>
      <c r="D183" s="6" t="s">
        <v>918</v>
      </c>
      <c r="I183" s="6" t="s">
        <v>859</v>
      </c>
      <c r="K183" s="16">
        <f>+ROUNDDOWN(K181+K182,2)</f>
        <v>954.19</v>
      </c>
      <c r="L183" s="6" t="s">
        <v>865</v>
      </c>
      <c r="M183" s="6" t="s">
        <v>868</v>
      </c>
    </row>
    <row r="184" spans="2:20">
      <c r="B184" s="9">
        <v>2</v>
      </c>
      <c r="C184" s="6" t="s">
        <v>919</v>
      </c>
    </row>
    <row r="185" spans="2:20">
      <c r="B185" s="9"/>
      <c r="C185" s="6" t="s">
        <v>920</v>
      </c>
      <c r="I185" s="6" t="s">
        <v>859</v>
      </c>
      <c r="K185" s="16">
        <f>K183</f>
        <v>954.19</v>
      </c>
      <c r="L185" s="6" t="s">
        <v>865</v>
      </c>
      <c r="M185" s="6" t="s">
        <v>868</v>
      </c>
    </row>
    <row r="186" spans="2:20">
      <c r="B186" s="9">
        <v>3</v>
      </c>
      <c r="C186" s="6" t="s">
        <v>921</v>
      </c>
    </row>
    <row r="187" spans="2:20">
      <c r="C187" s="6" t="s">
        <v>922</v>
      </c>
      <c r="I187" s="6" t="s">
        <v>859</v>
      </c>
      <c r="J187" s="21" t="s">
        <v>939</v>
      </c>
      <c r="K187" s="21"/>
    </row>
    <row r="188" spans="2:20">
      <c r="J188" s="342" t="s">
        <v>923</v>
      </c>
      <c r="K188" s="342"/>
    </row>
    <row r="189" spans="2:20">
      <c r="I189" s="6" t="s">
        <v>859</v>
      </c>
      <c r="K189" s="22">
        <f>(J110*0.5)/((1600*3)*1.25)</f>
        <v>166.66666666666666</v>
      </c>
      <c r="L189" s="6" t="s">
        <v>865</v>
      </c>
      <c r="M189" s="6" t="s">
        <v>868</v>
      </c>
    </row>
    <row r="190" spans="2:20">
      <c r="C190" s="6" t="s">
        <v>924</v>
      </c>
      <c r="I190" s="6" t="s">
        <v>859</v>
      </c>
      <c r="J190" s="21" t="s">
        <v>925</v>
      </c>
      <c r="K190" s="21"/>
    </row>
    <row r="191" spans="2:20">
      <c r="J191" s="342" t="s">
        <v>926</v>
      </c>
      <c r="K191" s="342"/>
    </row>
    <row r="192" spans="2:20">
      <c r="I192" s="6" t="s">
        <v>859</v>
      </c>
      <c r="K192" s="22">
        <f>+(0.3*[4]อัตราราคางานดิน!$G$15)/(3*1.25)</f>
        <v>1.4783999999999999</v>
      </c>
      <c r="L192" s="6" t="s">
        <v>865</v>
      </c>
      <c r="M192" s="6" t="s">
        <v>868</v>
      </c>
    </row>
    <row r="193" spans="1:20">
      <c r="C193" s="6" t="s">
        <v>940</v>
      </c>
      <c r="I193" s="6" t="s">
        <v>859</v>
      </c>
      <c r="K193" s="19">
        <f>[4]อัตราราคางานดิน!G16/'[4]ส่วนขยาย ยุบตัว'!C11</f>
        <v>14.872</v>
      </c>
      <c r="L193" s="6" t="s">
        <v>865</v>
      </c>
      <c r="M193" s="6" t="s">
        <v>868</v>
      </c>
    </row>
    <row r="194" spans="1:20">
      <c r="C194" s="6" t="s">
        <v>870</v>
      </c>
      <c r="D194" s="13">
        <v>5</v>
      </c>
      <c r="E194" s="6" t="s">
        <v>871</v>
      </c>
      <c r="I194" s="6" t="s">
        <v>859</v>
      </c>
      <c r="K194" s="23">
        <f>T194</f>
        <v>22.17</v>
      </c>
      <c r="L194" s="6" t="s">
        <v>865</v>
      </c>
      <c r="M194" s="6" t="s">
        <v>868</v>
      </c>
      <c r="O194" s="338" t="s">
        <v>873</v>
      </c>
      <c r="P194" s="339"/>
      <c r="Q194" s="340"/>
      <c r="T194" s="15">
        <f>'[4]วัสดุ+ค่าขนส่ง'!J4</f>
        <v>22.17</v>
      </c>
    </row>
    <row r="195" spans="1:20">
      <c r="D195" s="6" t="s">
        <v>941</v>
      </c>
      <c r="I195" s="6" t="s">
        <v>859</v>
      </c>
      <c r="K195" s="22">
        <f>+K189+K192+K193+K194</f>
        <v>205.18706666666668</v>
      </c>
      <c r="L195" s="6" t="s">
        <v>865</v>
      </c>
      <c r="M195" s="6" t="s">
        <v>868</v>
      </c>
    </row>
    <row r="196" spans="1:20">
      <c r="B196" s="8" t="s">
        <v>931</v>
      </c>
    </row>
    <row r="197" spans="1:20">
      <c r="C197" s="6" t="s">
        <v>932</v>
      </c>
      <c r="I197" s="6" t="s">
        <v>859</v>
      </c>
      <c r="J197" s="19">
        <f>SMALL((K183,K185,K195),1)</f>
        <v>205.18706666666668</v>
      </c>
      <c r="L197" s="6" t="s">
        <v>865</v>
      </c>
      <c r="M197" s="6" t="s">
        <v>868</v>
      </c>
    </row>
    <row r="198" spans="1:20">
      <c r="C198" s="6" t="s">
        <v>933</v>
      </c>
      <c r="E198" s="22">
        <f>+J197</f>
        <v>205.18706666666668</v>
      </c>
      <c r="F198" s="6" t="s">
        <v>934</v>
      </c>
      <c r="G198" s="16">
        <f>'[4]ส่วนขยาย ยุบตัว'!D11</f>
        <v>1.65</v>
      </c>
      <c r="I198" s="6" t="s">
        <v>859</v>
      </c>
      <c r="K198" s="22">
        <f>+E198*G198</f>
        <v>338.55866000000003</v>
      </c>
      <c r="L198" s="6" t="s">
        <v>865</v>
      </c>
    </row>
    <row r="199" spans="1:20">
      <c r="C199" s="6" t="s">
        <v>935</v>
      </c>
      <c r="I199" s="6" t="s">
        <v>859</v>
      </c>
      <c r="K199" s="22">
        <f>+[4]อัตราราคางานดิน!$G$33</f>
        <v>51.1</v>
      </c>
      <c r="L199" s="6" t="s">
        <v>865</v>
      </c>
    </row>
    <row r="200" spans="1:20">
      <c r="D200" s="6" t="s">
        <v>891</v>
      </c>
      <c r="I200" s="6" t="s">
        <v>859</v>
      </c>
      <c r="K200" s="18">
        <f>+ROUNDDOWN(K198+K199,2)</f>
        <v>389.65</v>
      </c>
      <c r="L200" s="6" t="s">
        <v>865</v>
      </c>
    </row>
    <row r="201" spans="1:20">
      <c r="B201" s="8" t="s">
        <v>884</v>
      </c>
      <c r="C201" s="6" t="s">
        <v>936</v>
      </c>
    </row>
    <row r="202" spans="1:20">
      <c r="C202" s="6" t="s">
        <v>937</v>
      </c>
    </row>
    <row r="203" spans="1:20">
      <c r="A203" s="7">
        <v>8</v>
      </c>
      <c r="B203" s="8" t="s">
        <v>944</v>
      </c>
    </row>
    <row r="204" spans="1:20">
      <c r="C204" s="6" t="s">
        <v>945</v>
      </c>
    </row>
    <row r="205" spans="1:20">
      <c r="C205" s="6" t="s">
        <v>946</v>
      </c>
    </row>
    <row r="206" spans="1:20">
      <c r="C206" s="6" t="s">
        <v>947</v>
      </c>
      <c r="I206" s="6" t="s">
        <v>859</v>
      </c>
      <c r="J206" s="21" t="s">
        <v>948</v>
      </c>
      <c r="K206" s="21"/>
    </row>
    <row r="207" spans="1:20">
      <c r="J207" s="342" t="s">
        <v>949</v>
      </c>
      <c r="K207" s="342"/>
    </row>
    <row r="208" spans="1:20">
      <c r="I208" s="6" t="s">
        <v>859</v>
      </c>
      <c r="K208" s="26">
        <f>+(1*[4]อัตราราคางานดิน!$G$15)/(2.5*1.25)</f>
        <v>5.9135999999999997</v>
      </c>
      <c r="L208" s="6" t="s">
        <v>865</v>
      </c>
      <c r="M208" s="6" t="s">
        <v>868</v>
      </c>
    </row>
    <row r="209" spans="1:20">
      <c r="B209" s="8" t="s">
        <v>931</v>
      </c>
    </row>
    <row r="210" spans="1:20">
      <c r="C210" s="6" t="s">
        <v>950</v>
      </c>
      <c r="I210" s="6" t="s">
        <v>859</v>
      </c>
      <c r="J210" s="27">
        <v>299.45560000000006</v>
      </c>
      <c r="L210" s="6" t="s">
        <v>865</v>
      </c>
      <c r="M210" s="6" t="s">
        <v>868</v>
      </c>
    </row>
    <row r="211" spans="1:20">
      <c r="C211" s="6" t="s">
        <v>947</v>
      </c>
      <c r="I211" s="6" t="s">
        <v>859</v>
      </c>
      <c r="J211" s="22">
        <f>+K208</f>
        <v>5.9135999999999997</v>
      </c>
      <c r="L211" s="6" t="s">
        <v>865</v>
      </c>
      <c r="M211" s="6" t="s">
        <v>868</v>
      </c>
    </row>
    <row r="212" spans="1:20">
      <c r="C212" s="6" t="s">
        <v>889</v>
      </c>
      <c r="I212" s="6" t="s">
        <v>859</v>
      </c>
      <c r="J212" s="22">
        <f>+[4]อัตราราคางานดิน!$G$10</f>
        <v>20.66</v>
      </c>
      <c r="L212" s="6" t="s">
        <v>865</v>
      </c>
      <c r="M212" s="6" t="s">
        <v>868</v>
      </c>
    </row>
    <row r="213" spans="1:20">
      <c r="C213" s="6" t="s">
        <v>870</v>
      </c>
      <c r="D213" s="13">
        <v>5</v>
      </c>
      <c r="E213" s="6" t="s">
        <v>871</v>
      </c>
      <c r="I213" s="6" t="s">
        <v>859</v>
      </c>
      <c r="K213" s="23">
        <f>T213</f>
        <v>22.17</v>
      </c>
      <c r="L213" s="6" t="s">
        <v>865</v>
      </c>
      <c r="M213" s="6" t="s">
        <v>868</v>
      </c>
      <c r="O213" s="338" t="s">
        <v>873</v>
      </c>
      <c r="P213" s="339"/>
      <c r="Q213" s="340"/>
      <c r="T213" s="15">
        <f>'[4]วัสดุ+ค่าขนส่ง'!J4</f>
        <v>22.17</v>
      </c>
    </row>
    <row r="214" spans="1:20">
      <c r="D214" s="6" t="s">
        <v>951</v>
      </c>
      <c r="I214" s="6" t="s">
        <v>859</v>
      </c>
      <c r="J214" s="22">
        <f>+J210+J211+J212+K213</f>
        <v>348.19920000000008</v>
      </c>
      <c r="L214" s="6" t="s">
        <v>865</v>
      </c>
      <c r="M214" s="6" t="s">
        <v>868</v>
      </c>
    </row>
    <row r="215" spans="1:20">
      <c r="C215" s="6" t="s">
        <v>933</v>
      </c>
      <c r="E215" s="22">
        <f>+J214</f>
        <v>348.19920000000008</v>
      </c>
      <c r="F215" s="6" t="s">
        <v>934</v>
      </c>
      <c r="G215" s="16">
        <f>'[4]ส่วนขยาย ยุบตัว'!D14</f>
        <v>1.6</v>
      </c>
      <c r="I215" s="6" t="s">
        <v>859</v>
      </c>
      <c r="K215" s="22">
        <f>+E215*G215</f>
        <v>557.11872000000017</v>
      </c>
      <c r="L215" s="6" t="s">
        <v>865</v>
      </c>
    </row>
    <row r="216" spans="1:20">
      <c r="C216" s="6" t="s">
        <v>935</v>
      </c>
      <c r="I216" s="6" t="s">
        <v>859</v>
      </c>
      <c r="K216" s="22">
        <f>+[4]อัตราราคางานดิน!$G$11</f>
        <v>55.92</v>
      </c>
      <c r="L216" s="6" t="s">
        <v>865</v>
      </c>
    </row>
    <row r="217" spans="1:20">
      <c r="D217" s="6" t="s">
        <v>952</v>
      </c>
      <c r="I217" s="6" t="s">
        <v>859</v>
      </c>
      <c r="K217" s="16">
        <f>+ROUNDDOWN(K215+K216,2)</f>
        <v>613.03</v>
      </c>
      <c r="L217" s="6" t="s">
        <v>865</v>
      </c>
    </row>
    <row r="218" spans="1:20">
      <c r="A218" s="7">
        <v>9</v>
      </c>
      <c r="B218" s="8" t="s">
        <v>953</v>
      </c>
    </row>
    <row r="219" spans="1:20">
      <c r="B219" s="28">
        <v>9</v>
      </c>
      <c r="C219" s="6" t="s">
        <v>954</v>
      </c>
    </row>
    <row r="220" spans="1:20">
      <c r="C220" s="6" t="s">
        <v>955</v>
      </c>
      <c r="I220" s="6" t="s">
        <v>859</v>
      </c>
      <c r="K220" s="22">
        <f>[4]อัตรางานคอนกรีตหิน!P23</f>
        <v>3200.5299999999997</v>
      </c>
      <c r="L220" s="6" t="s">
        <v>865</v>
      </c>
    </row>
    <row r="221" spans="1:20">
      <c r="C221" s="6" t="s">
        <v>956</v>
      </c>
      <c r="P221" s="6" t="s">
        <v>957</v>
      </c>
      <c r="R221" s="29">
        <v>360</v>
      </c>
      <c r="S221" s="6" t="s">
        <v>18</v>
      </c>
      <c r="T221" s="6" t="s">
        <v>958</v>
      </c>
    </row>
    <row r="222" spans="1:20">
      <c r="C222" s="6" t="s">
        <v>959</v>
      </c>
      <c r="P222" s="6" t="s">
        <v>960</v>
      </c>
      <c r="R222" s="29">
        <v>662</v>
      </c>
      <c r="S222" s="6" t="s">
        <v>16</v>
      </c>
      <c r="T222" s="6" t="s">
        <v>958</v>
      </c>
    </row>
    <row r="223" spans="1:20">
      <c r="D223" s="6" t="s">
        <v>961</v>
      </c>
      <c r="I223" s="6" t="s">
        <v>859</v>
      </c>
      <c r="J223" s="6" t="s">
        <v>962</v>
      </c>
      <c r="P223" s="6" t="s">
        <v>963</v>
      </c>
      <c r="R223" s="30">
        <f>[4]บัญชีค่าแรงงาน!D128</f>
        <v>154</v>
      </c>
      <c r="S223" s="6" t="s">
        <v>964</v>
      </c>
      <c r="T223" s="6" t="s">
        <v>965</v>
      </c>
    </row>
    <row r="224" spans="1:20">
      <c r="I224" s="6" t="s">
        <v>859</v>
      </c>
      <c r="K224" s="22">
        <f>+R222*R223</f>
        <v>101948</v>
      </c>
      <c r="L224" s="6" t="s">
        <v>964</v>
      </c>
    </row>
    <row r="225" spans="2:20">
      <c r="C225" s="6" t="s">
        <v>966</v>
      </c>
      <c r="I225" s="6" t="s">
        <v>859</v>
      </c>
      <c r="K225" s="27">
        <f>'[4]วัสดุ+ค่าขนส่ง'!K47</f>
        <v>20168.867580840721</v>
      </c>
      <c r="L225" s="6" t="s">
        <v>865</v>
      </c>
    </row>
    <row r="226" spans="2:20">
      <c r="C226" s="6" t="s">
        <v>967</v>
      </c>
      <c r="I226" s="6" t="s">
        <v>859</v>
      </c>
      <c r="K226" s="27">
        <f>'[4]วัสดุ+ค่าขนส่ง'!K47</f>
        <v>20168.867580840721</v>
      </c>
      <c r="L226" s="6" t="s">
        <v>865</v>
      </c>
    </row>
    <row r="227" spans="2:20">
      <c r="C227" s="6" t="s">
        <v>968</v>
      </c>
      <c r="I227" s="6" t="s">
        <v>859</v>
      </c>
      <c r="K227" s="22">
        <f>AVERAGE(K225:K226)</f>
        <v>20168.867580840721</v>
      </c>
      <c r="L227" s="6" t="s">
        <v>865</v>
      </c>
    </row>
    <row r="228" spans="2:20">
      <c r="D228" s="6" t="s">
        <v>969</v>
      </c>
      <c r="I228" s="6" t="s">
        <v>859</v>
      </c>
      <c r="J228" s="6" t="s">
        <v>970</v>
      </c>
    </row>
    <row r="229" spans="2:20">
      <c r="I229" s="6" t="s">
        <v>859</v>
      </c>
      <c r="K229" s="22">
        <f>+(R222*0.06/2)*K227</f>
        <v>400553.71015549672</v>
      </c>
      <c r="L229" s="6" t="s">
        <v>964</v>
      </c>
    </row>
    <row r="230" spans="2:20">
      <c r="D230" s="6" t="s">
        <v>971</v>
      </c>
      <c r="I230" s="6" t="s">
        <v>859</v>
      </c>
      <c r="J230" s="6" t="s">
        <v>972</v>
      </c>
    </row>
    <row r="231" spans="2:20">
      <c r="I231" s="6" t="s">
        <v>859</v>
      </c>
      <c r="K231" s="22">
        <f>+(+K224+K229)/R221</f>
        <v>1395.8380837652687</v>
      </c>
      <c r="L231" s="6" t="s">
        <v>865</v>
      </c>
    </row>
    <row r="232" spans="2:20">
      <c r="D232" s="6" t="s">
        <v>973</v>
      </c>
      <c r="I232" s="6" t="s">
        <v>859</v>
      </c>
      <c r="K232" s="22">
        <f>+K220+K231</f>
        <v>4596.3680837652682</v>
      </c>
      <c r="L232" s="6" t="s">
        <v>865</v>
      </c>
    </row>
    <row r="233" spans="2:20">
      <c r="K233" s="22"/>
    </row>
    <row r="234" spans="2:20">
      <c r="K234" s="22"/>
    </row>
    <row r="235" spans="2:20">
      <c r="B235" s="28">
        <v>9</v>
      </c>
      <c r="C235" s="6" t="s">
        <v>974</v>
      </c>
    </row>
    <row r="236" spans="2:20">
      <c r="C236" s="6" t="s">
        <v>955</v>
      </c>
      <c r="I236" s="6" t="s">
        <v>859</v>
      </c>
      <c r="K236" s="22">
        <f>[4]อัตรางานคอนกรีตหิน!L23</f>
        <v>2992.4700000000003</v>
      </c>
      <c r="L236" s="6" t="s">
        <v>865</v>
      </c>
    </row>
    <row r="237" spans="2:20">
      <c r="C237" s="6" t="s">
        <v>956</v>
      </c>
      <c r="P237" s="6" t="s">
        <v>957</v>
      </c>
      <c r="R237" s="29">
        <v>360</v>
      </c>
      <c r="S237" s="6" t="s">
        <v>18</v>
      </c>
      <c r="T237" s="6" t="s">
        <v>958</v>
      </c>
    </row>
    <row r="238" spans="2:20">
      <c r="C238" s="6" t="s">
        <v>959</v>
      </c>
      <c r="P238" s="6" t="s">
        <v>960</v>
      </c>
      <c r="R238" s="29">
        <v>662</v>
      </c>
      <c r="S238" s="6" t="s">
        <v>16</v>
      </c>
      <c r="T238" s="6" t="s">
        <v>958</v>
      </c>
    </row>
    <row r="239" spans="2:20">
      <c r="D239" s="6" t="s">
        <v>961</v>
      </c>
      <c r="I239" s="6" t="s">
        <v>859</v>
      </c>
      <c r="J239" s="6" t="s">
        <v>962</v>
      </c>
      <c r="P239" s="6" t="s">
        <v>963</v>
      </c>
      <c r="R239" s="30">
        <f>[4]บัญชีค่าแรงงาน!D128</f>
        <v>154</v>
      </c>
      <c r="S239" s="6" t="s">
        <v>964</v>
      </c>
      <c r="T239" s="6" t="s">
        <v>965</v>
      </c>
    </row>
    <row r="240" spans="2:20">
      <c r="I240" s="6" t="s">
        <v>859</v>
      </c>
      <c r="K240" s="22">
        <f>+R238*R239</f>
        <v>101948</v>
      </c>
      <c r="L240" s="6" t="s">
        <v>964</v>
      </c>
    </row>
    <row r="241" spans="3:12">
      <c r="C241" s="6" t="s">
        <v>966</v>
      </c>
      <c r="I241" s="6" t="s">
        <v>859</v>
      </c>
      <c r="K241" s="27">
        <f>'[4]วัสดุ+ค่าขนส่ง'!K47</f>
        <v>20168.867580840721</v>
      </c>
      <c r="L241" s="6" t="s">
        <v>865</v>
      </c>
    </row>
    <row r="242" spans="3:12">
      <c r="C242" s="6" t="s">
        <v>967</v>
      </c>
      <c r="I242" s="6" t="s">
        <v>859</v>
      </c>
      <c r="K242" s="27">
        <f>'[4]วัสดุ+ค่าขนส่ง'!K47</f>
        <v>20168.867580840721</v>
      </c>
      <c r="L242" s="6" t="s">
        <v>865</v>
      </c>
    </row>
    <row r="243" spans="3:12">
      <c r="C243" s="6" t="s">
        <v>968</v>
      </c>
      <c r="I243" s="6" t="s">
        <v>859</v>
      </c>
      <c r="K243" s="22">
        <f>AVERAGE(K241:K242)</f>
        <v>20168.867580840721</v>
      </c>
      <c r="L243" s="6" t="s">
        <v>865</v>
      </c>
    </row>
    <row r="244" spans="3:12">
      <c r="D244" s="6" t="s">
        <v>969</v>
      </c>
      <c r="I244" s="6" t="s">
        <v>859</v>
      </c>
      <c r="J244" s="6" t="s">
        <v>970</v>
      </c>
    </row>
    <row r="245" spans="3:12">
      <c r="I245" s="6" t="s">
        <v>859</v>
      </c>
      <c r="K245" s="22">
        <f>+(R238*0.06/2)*K243</f>
        <v>400553.71015549672</v>
      </c>
      <c r="L245" s="6" t="s">
        <v>964</v>
      </c>
    </row>
    <row r="246" spans="3:12">
      <c r="D246" s="6" t="s">
        <v>971</v>
      </c>
      <c r="I246" s="6" t="s">
        <v>859</v>
      </c>
      <c r="J246" s="6" t="s">
        <v>972</v>
      </c>
    </row>
    <row r="247" spans="3:12">
      <c r="I247" s="6" t="s">
        <v>859</v>
      </c>
      <c r="K247" s="22">
        <f>+(+K240+K245)/R237</f>
        <v>1395.8380837652687</v>
      </c>
      <c r="L247" s="6" t="s">
        <v>865</v>
      </c>
    </row>
    <row r="248" spans="3:12">
      <c r="D248" s="6" t="s">
        <v>973</v>
      </c>
      <c r="I248" s="6" t="s">
        <v>859</v>
      </c>
      <c r="K248" s="22">
        <f>+K236+K247</f>
        <v>4388.3080837652687</v>
      </c>
      <c r="L248" s="6" t="s">
        <v>865</v>
      </c>
    </row>
    <row r="249" spans="3:12">
      <c r="K249" s="22"/>
    </row>
    <row r="250" spans="3:12">
      <c r="K250" s="22"/>
    </row>
    <row r="251" spans="3:12">
      <c r="K251" s="22"/>
    </row>
    <row r="252" spans="3:12">
      <c r="K252" s="22"/>
    </row>
    <row r="253" spans="3:12">
      <c r="K253" s="22"/>
    </row>
    <row r="254" spans="3:12">
      <c r="K254" s="22"/>
    </row>
    <row r="255" spans="3:12">
      <c r="K255" s="22"/>
    </row>
    <row r="256" spans="3:12">
      <c r="K256" s="22"/>
    </row>
    <row r="257" spans="2:15">
      <c r="K257" s="22"/>
    </row>
    <row r="258" spans="2:15">
      <c r="K258" s="22"/>
    </row>
    <row r="259" spans="2:15">
      <c r="K259" s="22"/>
    </row>
    <row r="260" spans="2:15">
      <c r="K260" s="22"/>
    </row>
    <row r="261" spans="2:15">
      <c r="K261" s="22"/>
    </row>
    <row r="262" spans="2:15">
      <c r="K262" s="22"/>
    </row>
    <row r="263" spans="2:15">
      <c r="K263" s="22"/>
    </row>
    <row r="264" spans="2:15">
      <c r="K264" s="22"/>
    </row>
    <row r="265" spans="2:15">
      <c r="B265" s="9">
        <v>9.1999999999999993</v>
      </c>
      <c r="C265" s="6" t="s">
        <v>32</v>
      </c>
    </row>
    <row r="266" spans="2:15">
      <c r="C266" s="6" t="s">
        <v>975</v>
      </c>
    </row>
    <row r="267" spans="2:15">
      <c r="C267" s="6" t="s">
        <v>976</v>
      </c>
      <c r="I267" s="6" t="s">
        <v>859</v>
      </c>
      <c r="K267" s="22">
        <f>'[4]วัสดุ+ค่าขนส่ง'!J11</f>
        <v>21.49184</v>
      </c>
      <c r="L267" s="6" t="s">
        <v>977</v>
      </c>
      <c r="O267" s="31">
        <v>1</v>
      </c>
    </row>
    <row r="268" spans="2:15">
      <c r="C268" s="6" t="s">
        <v>978</v>
      </c>
    </row>
    <row r="269" spans="2:15">
      <c r="D269" s="6" t="s">
        <v>979</v>
      </c>
      <c r="I269" s="6" t="s">
        <v>859</v>
      </c>
      <c r="K269" s="22">
        <f>+K267*0.1</f>
        <v>2.149184</v>
      </c>
      <c r="L269" s="6" t="s">
        <v>977</v>
      </c>
      <c r="O269" s="31">
        <v>2</v>
      </c>
    </row>
    <row r="270" spans="2:15">
      <c r="C270" s="6" t="s">
        <v>980</v>
      </c>
      <c r="K270" s="22">
        <f>+F275</f>
        <v>3.55</v>
      </c>
      <c r="L270" s="6" t="s">
        <v>977</v>
      </c>
      <c r="O270" s="31">
        <v>3</v>
      </c>
    </row>
    <row r="271" spans="2:15">
      <c r="D271" s="6" t="s">
        <v>981</v>
      </c>
      <c r="K271" s="22">
        <f>+ROUNDDOWN(K267+K269+K270,2)</f>
        <v>27.19</v>
      </c>
      <c r="L271" s="6" t="s">
        <v>977</v>
      </c>
    </row>
    <row r="272" spans="2:15">
      <c r="B272" s="8" t="s">
        <v>884</v>
      </c>
      <c r="C272" s="6" t="s">
        <v>982</v>
      </c>
    </row>
    <row r="273" spans="1:21">
      <c r="C273" s="6" t="s">
        <v>983</v>
      </c>
    </row>
    <row r="274" spans="1:21">
      <c r="C274" s="6" t="s">
        <v>984</v>
      </c>
    </row>
    <row r="275" spans="1:21">
      <c r="C275" s="6" t="s">
        <v>985</v>
      </c>
      <c r="F275" s="32">
        <v>3.55</v>
      </c>
      <c r="G275" s="6" t="s">
        <v>977</v>
      </c>
    </row>
    <row r="276" spans="1:21">
      <c r="A276" s="8">
        <v>10</v>
      </c>
      <c r="B276" s="8" t="s">
        <v>986</v>
      </c>
    </row>
    <row r="277" spans="1:21">
      <c r="C277" s="6" t="s">
        <v>987</v>
      </c>
      <c r="I277" s="6" t="s">
        <v>859</v>
      </c>
      <c r="K277" s="33">
        <f>[4]อัตรางานคอนกรีตหิน!X23</f>
        <v>2242.69</v>
      </c>
      <c r="L277" s="6" t="s">
        <v>865</v>
      </c>
    </row>
    <row r="278" spans="1:21">
      <c r="C278" s="6" t="s">
        <v>956</v>
      </c>
    </row>
    <row r="279" spans="1:21">
      <c r="C279" s="6" t="s">
        <v>988</v>
      </c>
      <c r="I279" s="6" t="s">
        <v>859</v>
      </c>
      <c r="K279" s="22">
        <f>[4]บัญชีค่าแรงงาน!D116</f>
        <v>398</v>
      </c>
      <c r="L279" s="6" t="s">
        <v>865</v>
      </c>
    </row>
    <row r="280" spans="1:21">
      <c r="D280" s="6" t="s">
        <v>861</v>
      </c>
      <c r="I280" s="6" t="s">
        <v>859</v>
      </c>
      <c r="K280" s="22">
        <f>ROUNDDOWN(K277+K279,2)</f>
        <v>2640.69</v>
      </c>
      <c r="L280" s="6" t="s">
        <v>865</v>
      </c>
    </row>
    <row r="281" spans="1:21">
      <c r="A281" s="8">
        <v>11</v>
      </c>
      <c r="B281" s="8" t="s">
        <v>989</v>
      </c>
    </row>
    <row r="282" spans="1:21">
      <c r="B282" s="9">
        <v>11.1</v>
      </c>
      <c r="C282" s="6" t="s">
        <v>990</v>
      </c>
      <c r="E282" s="22">
        <v>10</v>
      </c>
      <c r="F282" s="6" t="s">
        <v>991</v>
      </c>
    </row>
    <row r="283" spans="1:21">
      <c r="C283" s="6" t="s">
        <v>992</v>
      </c>
      <c r="I283" s="6" t="s">
        <v>859</v>
      </c>
      <c r="J283" s="22">
        <f>[4]อัตรางานคอนกรีตหิน!V23</f>
        <v>2936.4399999999996</v>
      </c>
      <c r="L283" s="6" t="s">
        <v>865</v>
      </c>
      <c r="U283" s="9"/>
    </row>
    <row r="284" spans="1:21">
      <c r="C284" s="6" t="s">
        <v>956</v>
      </c>
      <c r="P284" s="6" t="s">
        <v>993</v>
      </c>
      <c r="Q284" s="6" t="s">
        <v>994</v>
      </c>
      <c r="R284" s="9">
        <v>100</v>
      </c>
      <c r="S284" s="10" t="s">
        <v>43</v>
      </c>
    </row>
    <row r="285" spans="1:21">
      <c r="C285" s="6" t="s">
        <v>995</v>
      </c>
      <c r="E285" s="22">
        <f>+J283</f>
        <v>2936.4399999999996</v>
      </c>
      <c r="F285" s="6" t="s">
        <v>996</v>
      </c>
      <c r="I285" s="6" t="s">
        <v>859</v>
      </c>
      <c r="K285" s="22">
        <f>+J283*E282/100</f>
        <v>293.64399999999995</v>
      </c>
      <c r="L285" s="6" t="s">
        <v>860</v>
      </c>
      <c r="Q285" s="9" t="s">
        <v>997</v>
      </c>
      <c r="R285" s="9">
        <v>10</v>
      </c>
      <c r="S285" s="10" t="s">
        <v>43</v>
      </c>
    </row>
    <row r="286" spans="1:21">
      <c r="C286" s="6" t="s">
        <v>998</v>
      </c>
      <c r="I286" s="6" t="s">
        <v>859</v>
      </c>
      <c r="K286" s="22">
        <f>+$F$300</f>
        <v>8.66</v>
      </c>
      <c r="L286" s="6" t="s">
        <v>860</v>
      </c>
      <c r="P286" s="6" t="s">
        <v>999</v>
      </c>
      <c r="R286" s="9">
        <f>+E282/100*R284*R285</f>
        <v>100</v>
      </c>
      <c r="S286" s="6" t="s">
        <v>18</v>
      </c>
    </row>
    <row r="287" spans="1:21">
      <c r="C287" s="6" t="s">
        <v>959</v>
      </c>
      <c r="P287" s="6" t="s">
        <v>960</v>
      </c>
      <c r="R287" s="9">
        <f>+((E282/100)*R284*2)+((E282/100)*10*(R284/10))</f>
        <v>30</v>
      </c>
      <c r="S287" s="6" t="s">
        <v>16</v>
      </c>
    </row>
    <row r="288" spans="1:21">
      <c r="D288" s="6" t="s">
        <v>1000</v>
      </c>
      <c r="I288" s="6" t="s">
        <v>859</v>
      </c>
      <c r="J288" s="6" t="s">
        <v>962</v>
      </c>
      <c r="P288" s="6" t="s">
        <v>963</v>
      </c>
      <c r="R288" s="34">
        <f>[4]บัญชีค่าแรงงาน!D126</f>
        <v>115</v>
      </c>
      <c r="S288" s="6" t="s">
        <v>964</v>
      </c>
    </row>
    <row r="289" spans="1:19">
      <c r="I289" s="6" t="s">
        <v>859</v>
      </c>
      <c r="K289" s="22">
        <f>R287*R288</f>
        <v>3450</v>
      </c>
      <c r="L289" s="6" t="s">
        <v>964</v>
      </c>
    </row>
    <row r="290" spans="1:19">
      <c r="C290" s="6" t="s">
        <v>966</v>
      </c>
      <c r="I290" s="6" t="s">
        <v>859</v>
      </c>
      <c r="K290" s="27">
        <f>K225</f>
        <v>20168.867580840721</v>
      </c>
      <c r="L290" s="6" t="s">
        <v>865</v>
      </c>
    </row>
    <row r="291" spans="1:19">
      <c r="C291" s="6" t="s">
        <v>967</v>
      </c>
      <c r="I291" s="6" t="s">
        <v>859</v>
      </c>
      <c r="K291" s="27">
        <f>K226</f>
        <v>20168.867580840721</v>
      </c>
      <c r="L291" s="6" t="s">
        <v>865</v>
      </c>
    </row>
    <row r="292" spans="1:19">
      <c r="D292" s="6" t="s">
        <v>1001</v>
      </c>
      <c r="I292" s="6" t="s">
        <v>859</v>
      </c>
      <c r="K292" s="22">
        <f>AVERAGE(K290:K291)</f>
        <v>20168.867580840721</v>
      </c>
      <c r="L292" s="6" t="s">
        <v>865</v>
      </c>
    </row>
    <row r="293" spans="1:19">
      <c r="D293" s="6" t="s">
        <v>1002</v>
      </c>
      <c r="I293" s="6" t="s">
        <v>859</v>
      </c>
      <c r="J293" s="6" t="s">
        <v>1003</v>
      </c>
    </row>
    <row r="294" spans="1:19">
      <c r="I294" s="6" t="s">
        <v>859</v>
      </c>
      <c r="K294" s="22">
        <f>+(R287*0.06/4)*K292</f>
        <v>9075.9904113783232</v>
      </c>
      <c r="L294" s="6" t="s">
        <v>964</v>
      </c>
    </row>
    <row r="295" spans="1:19">
      <c r="D295" s="6" t="s">
        <v>971</v>
      </c>
      <c r="I295" s="6" t="s">
        <v>859</v>
      </c>
      <c r="J295" s="6" t="s">
        <v>1004</v>
      </c>
    </row>
    <row r="296" spans="1:19">
      <c r="I296" s="6" t="s">
        <v>859</v>
      </c>
      <c r="K296" s="22">
        <f>+(K289+K294)/(R286/0.1)</f>
        <v>12.525990411378324</v>
      </c>
      <c r="L296" s="6" t="s">
        <v>860</v>
      </c>
    </row>
    <row r="297" spans="1:19">
      <c r="D297" s="6" t="s">
        <v>1005</v>
      </c>
      <c r="I297" s="6" t="s">
        <v>859</v>
      </c>
      <c r="K297" s="22">
        <f>+ROUNDDOWN((K285+K286+K296),0)</f>
        <v>314</v>
      </c>
      <c r="L297" s="6" t="s">
        <v>860</v>
      </c>
    </row>
    <row r="298" spans="1:19">
      <c r="B298" s="8" t="s">
        <v>884</v>
      </c>
      <c r="C298" s="6" t="s">
        <v>1006</v>
      </c>
    </row>
    <row r="299" spans="1:19">
      <c r="C299" s="6" t="s">
        <v>1007</v>
      </c>
    </row>
    <row r="300" spans="1:19">
      <c r="C300" s="6" t="s">
        <v>1008</v>
      </c>
      <c r="F300" s="32">
        <v>8.66</v>
      </c>
      <c r="G300" s="9"/>
      <c r="H300" s="6" t="s">
        <v>1009</v>
      </c>
    </row>
    <row r="301" spans="1:19">
      <c r="A301" s="8">
        <v>12</v>
      </c>
      <c r="B301" s="8" t="s">
        <v>1010</v>
      </c>
    </row>
    <row r="302" spans="1:19">
      <c r="C302" s="6" t="s">
        <v>1011</v>
      </c>
      <c r="I302" s="6" t="s">
        <v>859</v>
      </c>
      <c r="K302" s="22">
        <f>[4]อัตรางานคอนกรีตหิน!F23</f>
        <v>2750.4899999999993</v>
      </c>
      <c r="L302" s="6" t="s">
        <v>865</v>
      </c>
      <c r="N302" s="31">
        <v>1</v>
      </c>
    </row>
    <row r="303" spans="1:19">
      <c r="C303" s="6" t="s">
        <v>956</v>
      </c>
      <c r="N303" s="31"/>
      <c r="P303" s="6" t="s">
        <v>993</v>
      </c>
      <c r="Q303" s="6" t="s">
        <v>994</v>
      </c>
      <c r="R303" s="9">
        <v>100</v>
      </c>
      <c r="S303" s="10" t="s">
        <v>43</v>
      </c>
    </row>
    <row r="304" spans="1:19">
      <c r="C304" s="6" t="s">
        <v>1012</v>
      </c>
      <c r="N304" s="31"/>
      <c r="Q304" s="9" t="s">
        <v>997</v>
      </c>
      <c r="R304" s="9">
        <v>10</v>
      </c>
      <c r="S304" s="10" t="s">
        <v>43</v>
      </c>
    </row>
    <row r="305" spans="1:19">
      <c r="D305" s="6" t="s">
        <v>1000</v>
      </c>
      <c r="I305" s="6" t="s">
        <v>859</v>
      </c>
      <c r="J305" s="6" t="s">
        <v>962</v>
      </c>
      <c r="N305" s="31"/>
      <c r="P305" s="6" t="s">
        <v>957</v>
      </c>
      <c r="R305" s="9">
        <f>30/100*R303*R304</f>
        <v>300</v>
      </c>
      <c r="S305" s="6" t="s">
        <v>18</v>
      </c>
    </row>
    <row r="306" spans="1:19">
      <c r="I306" s="6" t="s">
        <v>859</v>
      </c>
      <c r="K306" s="22">
        <f>R306*R307</f>
        <v>10350</v>
      </c>
      <c r="L306" s="6" t="s">
        <v>964</v>
      </c>
      <c r="N306" s="31">
        <v>2</v>
      </c>
      <c r="P306" s="6" t="s">
        <v>960</v>
      </c>
      <c r="R306" s="9">
        <f>+((30/100)*R303*2)+((30/100)*10*(R303/10))</f>
        <v>90</v>
      </c>
      <c r="S306" s="6" t="s">
        <v>16</v>
      </c>
    </row>
    <row r="307" spans="1:19">
      <c r="C307" s="6" t="s">
        <v>966</v>
      </c>
      <c r="I307" s="6" t="s">
        <v>859</v>
      </c>
      <c r="K307" s="27">
        <f>K290</f>
        <v>20168.867580840721</v>
      </c>
      <c r="L307" s="6" t="s">
        <v>865</v>
      </c>
      <c r="N307" s="31"/>
      <c r="P307" s="6" t="s">
        <v>963</v>
      </c>
      <c r="R307" s="34">
        <f>[4]บัญชีค่าแรงงาน!D126</f>
        <v>115</v>
      </c>
      <c r="S307" s="6" t="s">
        <v>964</v>
      </c>
    </row>
    <row r="308" spans="1:19">
      <c r="C308" s="6" t="s">
        <v>967</v>
      </c>
      <c r="I308" s="6" t="s">
        <v>859</v>
      </c>
      <c r="K308" s="27">
        <f>K291</f>
        <v>20168.867580840721</v>
      </c>
      <c r="L308" s="6" t="s">
        <v>865</v>
      </c>
      <c r="N308" s="31"/>
      <c r="R308" s="9"/>
    </row>
    <row r="309" spans="1:19">
      <c r="D309" s="6" t="s">
        <v>1001</v>
      </c>
      <c r="I309" s="6" t="s">
        <v>859</v>
      </c>
      <c r="K309" s="22">
        <f>AVERAGE(K307:K308)</f>
        <v>20168.867580840721</v>
      </c>
      <c r="L309" s="6" t="s">
        <v>865</v>
      </c>
      <c r="N309" s="31"/>
      <c r="R309" s="9"/>
    </row>
    <row r="310" spans="1:19">
      <c r="D310" s="6" t="s">
        <v>1002</v>
      </c>
      <c r="I310" s="6" t="s">
        <v>859</v>
      </c>
      <c r="J310" s="6" t="s">
        <v>1013</v>
      </c>
      <c r="N310" s="31"/>
      <c r="R310" s="34"/>
    </row>
    <row r="311" spans="1:19">
      <c r="I311" s="6" t="s">
        <v>859</v>
      </c>
      <c r="K311" s="22">
        <f>+(R304*0.06/2)*K309</f>
        <v>6050.6602742522164</v>
      </c>
      <c r="L311" s="6" t="s">
        <v>964</v>
      </c>
      <c r="N311" s="31">
        <v>3</v>
      </c>
    </row>
    <row r="312" spans="1:19">
      <c r="D312" s="6" t="s">
        <v>971</v>
      </c>
      <c r="I312" s="6" t="s">
        <v>859</v>
      </c>
      <c r="J312" s="6" t="s">
        <v>1014</v>
      </c>
      <c r="N312" s="31"/>
    </row>
    <row r="313" spans="1:19">
      <c r="I313" s="6" t="s">
        <v>859</v>
      </c>
      <c r="K313" s="22">
        <f>+(K306+K311)/R305</f>
        <v>54.668867580840718</v>
      </c>
      <c r="L313" s="6" t="s">
        <v>865</v>
      </c>
      <c r="N313" s="31">
        <v>4</v>
      </c>
    </row>
    <row r="314" spans="1:19">
      <c r="D314" s="6" t="s">
        <v>1015</v>
      </c>
      <c r="I314" s="6" t="s">
        <v>859</v>
      </c>
      <c r="K314" s="22">
        <f>+ROUNDDOWN(K302+K313,2)</f>
        <v>2805.15</v>
      </c>
      <c r="L314" s="6" t="s">
        <v>865</v>
      </c>
      <c r="N314" s="31"/>
    </row>
    <row r="315" spans="1:19">
      <c r="B315" s="8" t="s">
        <v>884</v>
      </c>
      <c r="C315" s="6" t="s">
        <v>1016</v>
      </c>
    </row>
    <row r="316" spans="1:19">
      <c r="A316" s="8">
        <v>13</v>
      </c>
      <c r="B316" s="8" t="s">
        <v>1017</v>
      </c>
    </row>
    <row r="317" spans="1:19">
      <c r="B317" s="9">
        <v>13.1</v>
      </c>
      <c r="C317" s="6" t="s">
        <v>1018</v>
      </c>
      <c r="D317" s="6" t="s">
        <v>1019</v>
      </c>
      <c r="E317" s="6">
        <v>0.3</v>
      </c>
      <c r="F317" s="6" t="s">
        <v>43</v>
      </c>
    </row>
    <row r="318" spans="1:19">
      <c r="B318" s="9"/>
      <c r="C318" s="6" t="s">
        <v>1020</v>
      </c>
      <c r="I318" s="6" t="s">
        <v>859</v>
      </c>
      <c r="K318" s="22">
        <f>[4]อัตรางานคอนกรีตหิน!AB23</f>
        <v>1460.09</v>
      </c>
      <c r="L318" s="6" t="s">
        <v>865</v>
      </c>
    </row>
    <row r="319" spans="1:19">
      <c r="B319" s="9"/>
      <c r="C319" s="6" t="s">
        <v>956</v>
      </c>
    </row>
    <row r="320" spans="1:19">
      <c r="B320" s="9"/>
      <c r="D320" s="6" t="s">
        <v>1021</v>
      </c>
      <c r="I320" s="6" t="s">
        <v>859</v>
      </c>
      <c r="K320" s="22">
        <f>+ROUNDDOWN(K318,2)</f>
        <v>1460.09</v>
      </c>
      <c r="L320" s="6" t="s">
        <v>865</v>
      </c>
    </row>
    <row r="321" spans="2:12">
      <c r="B321" s="9">
        <v>13.2</v>
      </c>
      <c r="C321" s="6" t="s">
        <v>1022</v>
      </c>
      <c r="E321" s="6">
        <v>0.3</v>
      </c>
      <c r="F321" s="6" t="s">
        <v>43</v>
      </c>
    </row>
    <row r="322" spans="2:12">
      <c r="B322" s="9"/>
      <c r="C322" s="6" t="s">
        <v>1023</v>
      </c>
      <c r="I322" s="6" t="s">
        <v>859</v>
      </c>
      <c r="K322" s="22">
        <f>[4]อัตรางานคอนกรีตหิน!AD23</f>
        <v>1610.6899999999998</v>
      </c>
      <c r="L322" s="6" t="s">
        <v>865</v>
      </c>
    </row>
    <row r="323" spans="2:12">
      <c r="B323" s="9"/>
      <c r="C323" s="6" t="s">
        <v>956</v>
      </c>
    </row>
    <row r="324" spans="2:12">
      <c r="B324" s="9"/>
      <c r="D324" s="6" t="s">
        <v>1021</v>
      </c>
      <c r="I324" s="6" t="s">
        <v>859</v>
      </c>
      <c r="K324" s="22">
        <f>+ROUNDDOWN(K322,2)</f>
        <v>1610.69</v>
      </c>
      <c r="L324" s="6" t="s">
        <v>865</v>
      </c>
    </row>
    <row r="325" spans="2:12">
      <c r="B325" s="9">
        <v>13.3</v>
      </c>
      <c r="C325" s="6" t="s">
        <v>1024</v>
      </c>
    </row>
    <row r="326" spans="2:12">
      <c r="B326" s="9"/>
      <c r="C326" s="6" t="s">
        <v>1025</v>
      </c>
      <c r="I326" s="6" t="s">
        <v>859</v>
      </c>
      <c r="K326" s="22">
        <f>[4]อัตรางานคอนกรีตหิน!AF23</f>
        <v>2723.66</v>
      </c>
      <c r="L326" s="6" t="s">
        <v>865</v>
      </c>
    </row>
    <row r="327" spans="2:12">
      <c r="B327" s="9"/>
      <c r="C327" s="6" t="s">
        <v>956</v>
      </c>
    </row>
    <row r="328" spans="2:12">
      <c r="B328" s="9"/>
      <c r="D328" s="6" t="s">
        <v>1021</v>
      </c>
      <c r="I328" s="6" t="s">
        <v>859</v>
      </c>
      <c r="K328" s="22">
        <f>+ROUNDDOWN(K326,2)</f>
        <v>2723.66</v>
      </c>
      <c r="L328" s="6" t="s">
        <v>865</v>
      </c>
    </row>
    <row r="329" spans="2:12">
      <c r="B329" s="9">
        <v>13.4</v>
      </c>
      <c r="C329" s="6" t="s">
        <v>1026</v>
      </c>
      <c r="E329" s="6">
        <v>0.3</v>
      </c>
      <c r="F329" s="6" t="s">
        <v>43</v>
      </c>
    </row>
    <row r="330" spans="2:12">
      <c r="B330" s="9"/>
      <c r="C330" s="6" t="s">
        <v>1027</v>
      </c>
      <c r="I330" s="6" t="s">
        <v>859</v>
      </c>
      <c r="K330" s="22">
        <f>[4]อัตรางานคอนกรีตหิน!AH23</f>
        <v>1133.04</v>
      </c>
      <c r="L330" s="6" t="s">
        <v>865</v>
      </c>
    </row>
    <row r="331" spans="2:12">
      <c r="B331" s="9"/>
      <c r="C331" s="6" t="s">
        <v>956</v>
      </c>
    </row>
    <row r="332" spans="2:12">
      <c r="B332" s="9"/>
      <c r="D332" s="6" t="s">
        <v>1021</v>
      </c>
      <c r="I332" s="6" t="s">
        <v>859</v>
      </c>
      <c r="K332" s="22">
        <f>+ROUNDDOWN(K330,2)</f>
        <v>1133.04</v>
      </c>
      <c r="L332" s="6" t="s">
        <v>865</v>
      </c>
    </row>
    <row r="333" spans="2:12">
      <c r="B333" s="9">
        <v>13.5</v>
      </c>
      <c r="C333" s="6" t="s">
        <v>1028</v>
      </c>
    </row>
    <row r="334" spans="2:12">
      <c r="B334" s="9"/>
      <c r="C334" s="6" t="s">
        <v>1029</v>
      </c>
      <c r="I334" s="6" t="s">
        <v>859</v>
      </c>
      <c r="K334" s="22">
        <f>[4]อัตรางานคอนกรีตหิน!AH23</f>
        <v>1133.04</v>
      </c>
      <c r="L334" s="6" t="s">
        <v>865</v>
      </c>
    </row>
    <row r="335" spans="2:12">
      <c r="B335" s="9"/>
      <c r="C335" s="6" t="s">
        <v>1030</v>
      </c>
    </row>
    <row r="336" spans="2:12">
      <c r="B336" s="9"/>
      <c r="D336" s="6" t="s">
        <v>1021</v>
      </c>
      <c r="I336" s="6" t="s">
        <v>859</v>
      </c>
      <c r="K336" s="22">
        <f>+ROUNDDOWN(K334,2)</f>
        <v>1133.04</v>
      </c>
      <c r="L336" s="6" t="s">
        <v>865</v>
      </c>
    </row>
    <row r="337" spans="2:20">
      <c r="B337" s="9">
        <v>13.6</v>
      </c>
      <c r="C337" s="6" t="s">
        <v>1031</v>
      </c>
      <c r="E337" s="6">
        <v>0.15</v>
      </c>
      <c r="F337" s="6" t="s">
        <v>43</v>
      </c>
    </row>
    <row r="338" spans="2:20">
      <c r="C338" s="6" t="s">
        <v>1032</v>
      </c>
      <c r="I338" s="6" t="s">
        <v>859</v>
      </c>
      <c r="J338" s="22">
        <f>'[4]วัสดุ+ค่าขนส่ง'!I72</f>
        <v>786.79000000000008</v>
      </c>
      <c r="K338" s="35"/>
      <c r="L338" s="6" t="s">
        <v>1033</v>
      </c>
      <c r="N338" s="36">
        <v>1</v>
      </c>
    </row>
    <row r="339" spans="2:20">
      <c r="C339" s="6" t="s">
        <v>1034</v>
      </c>
      <c r="E339" s="22">
        <f>+J338</f>
        <v>786.79000000000008</v>
      </c>
      <c r="F339" s="6" t="s">
        <v>1035</v>
      </c>
      <c r="G339" s="6">
        <f>+K358</f>
        <v>1.02</v>
      </c>
      <c r="I339" s="6" t="s">
        <v>859</v>
      </c>
      <c r="J339" s="35"/>
      <c r="K339" s="22">
        <f>+E339*G339</f>
        <v>802.52580000000012</v>
      </c>
      <c r="L339" s="6" t="s">
        <v>865</v>
      </c>
      <c r="N339" s="36">
        <v>2</v>
      </c>
    </row>
    <row r="340" spans="2:20">
      <c r="C340" s="6" t="s">
        <v>1036</v>
      </c>
      <c r="I340" s="6" t="s">
        <v>859</v>
      </c>
      <c r="J340" s="22">
        <f>'[4]วัสดุ+ค่าขนส่ง'!I75</f>
        <v>932.02</v>
      </c>
      <c r="K340" s="35"/>
      <c r="L340" s="6" t="s">
        <v>1033</v>
      </c>
      <c r="N340" s="36">
        <v>3</v>
      </c>
    </row>
    <row r="341" spans="2:20">
      <c r="C341" s="6" t="s">
        <v>1034</v>
      </c>
      <c r="E341" s="22">
        <f>+J340</f>
        <v>932.02</v>
      </c>
      <c r="F341" s="6" t="s">
        <v>1035</v>
      </c>
      <c r="G341" s="6">
        <f>+K363</f>
        <v>0.66</v>
      </c>
      <c r="I341" s="6" t="s">
        <v>859</v>
      </c>
      <c r="J341" s="35"/>
      <c r="K341" s="22">
        <f>+E341*G341</f>
        <v>615.13319999999999</v>
      </c>
      <c r="L341" s="6" t="s">
        <v>865</v>
      </c>
      <c r="N341" s="36">
        <v>4</v>
      </c>
    </row>
    <row r="342" spans="2:20">
      <c r="C342" s="6" t="s">
        <v>1037</v>
      </c>
      <c r="I342" s="6" t="s">
        <v>859</v>
      </c>
      <c r="J342" s="35"/>
      <c r="K342" s="22">
        <f>+[4]อัตราราคางานดิน!$G$14</f>
        <v>25.12</v>
      </c>
      <c r="L342" s="6" t="s">
        <v>865</v>
      </c>
      <c r="N342" s="36">
        <v>5</v>
      </c>
    </row>
    <row r="343" spans="2:20">
      <c r="C343" s="6" t="s">
        <v>1038</v>
      </c>
      <c r="I343" s="6" t="s">
        <v>859</v>
      </c>
      <c r="J343" s="22">
        <f>+[4]อัตราราคางานดิน!$G$17</f>
        <v>9.0399999999999991</v>
      </c>
      <c r="K343" s="35"/>
      <c r="L343" s="6" t="s">
        <v>1033</v>
      </c>
      <c r="N343" s="36">
        <v>6</v>
      </c>
    </row>
    <row r="344" spans="2:20">
      <c r="C344" s="6" t="s">
        <v>870</v>
      </c>
      <c r="D344" s="13">
        <v>5</v>
      </c>
      <c r="E344" s="6" t="s">
        <v>871</v>
      </c>
      <c r="I344" s="6" t="s">
        <v>859</v>
      </c>
      <c r="J344" s="14">
        <f>T344</f>
        <v>22.17</v>
      </c>
      <c r="L344" s="6" t="s">
        <v>865</v>
      </c>
      <c r="M344" s="6" t="s">
        <v>868</v>
      </c>
      <c r="N344" s="36">
        <v>7</v>
      </c>
      <c r="O344" s="338" t="s">
        <v>873</v>
      </c>
      <c r="P344" s="339"/>
      <c r="Q344" s="340"/>
      <c r="T344" s="15">
        <f>'[4]วัสดุ+ค่าขนส่ง'!J4</f>
        <v>22.17</v>
      </c>
    </row>
    <row r="345" spans="2:20">
      <c r="D345" s="6" t="s">
        <v>1039</v>
      </c>
      <c r="I345" s="6" t="s">
        <v>859</v>
      </c>
      <c r="J345" s="22">
        <f>+J343+J344</f>
        <v>31.21</v>
      </c>
      <c r="K345" s="35"/>
      <c r="L345" s="6" t="s">
        <v>1033</v>
      </c>
      <c r="N345" s="36">
        <v>8</v>
      </c>
    </row>
    <row r="346" spans="2:20">
      <c r="C346" s="6" t="s">
        <v>933</v>
      </c>
      <c r="E346" s="22">
        <f>+J345</f>
        <v>31.21</v>
      </c>
      <c r="F346" s="6" t="s">
        <v>1040</v>
      </c>
      <c r="I346" s="6" t="s">
        <v>859</v>
      </c>
      <c r="J346" s="35"/>
      <c r="K346" s="22">
        <f>+E346*1.4</f>
        <v>43.693999999999996</v>
      </c>
      <c r="L346" s="6" t="s">
        <v>865</v>
      </c>
      <c r="N346" s="36">
        <v>9</v>
      </c>
    </row>
    <row r="347" spans="2:20">
      <c r="C347" s="6" t="s">
        <v>935</v>
      </c>
      <c r="I347" s="6" t="s">
        <v>859</v>
      </c>
      <c r="J347" s="35"/>
      <c r="K347" s="22">
        <f>+[4]อัตราราคางานดิน!$G$29</f>
        <v>43.02</v>
      </c>
      <c r="L347" s="6" t="s">
        <v>865</v>
      </c>
      <c r="N347" s="36">
        <v>10</v>
      </c>
    </row>
    <row r="348" spans="2:20">
      <c r="D348" s="6" t="s">
        <v>1041</v>
      </c>
      <c r="I348" s="6" t="s">
        <v>859</v>
      </c>
      <c r="J348" s="35"/>
      <c r="K348" s="18">
        <f>+ROUNDDOWN(K339+K341+K342+K346+K347,2)</f>
        <v>1529.49</v>
      </c>
      <c r="L348" s="6" t="s">
        <v>865</v>
      </c>
    </row>
    <row r="349" spans="2:20">
      <c r="B349" s="8" t="s">
        <v>884</v>
      </c>
      <c r="C349" s="6" t="s">
        <v>1042</v>
      </c>
    </row>
    <row r="350" spans="2:20">
      <c r="C350" s="6" t="s">
        <v>1043</v>
      </c>
    </row>
    <row r="351" spans="2:20">
      <c r="C351" s="6" t="s">
        <v>1044</v>
      </c>
    </row>
    <row r="352" spans="2:20">
      <c r="C352" s="8" t="s">
        <v>1045</v>
      </c>
    </row>
    <row r="353" spans="3:11">
      <c r="C353" s="9" t="s">
        <v>1046</v>
      </c>
      <c r="D353" s="6" t="s">
        <v>1047</v>
      </c>
    </row>
    <row r="354" spans="3:11">
      <c r="C354" s="6" t="s">
        <v>1048</v>
      </c>
    </row>
    <row r="355" spans="3:11">
      <c r="D355" s="6" t="s">
        <v>1049</v>
      </c>
      <c r="I355" s="6" t="s">
        <v>859</v>
      </c>
      <c r="K355" s="6">
        <v>0.88400000000000001</v>
      </c>
    </row>
    <row r="356" spans="3:11">
      <c r="D356" s="6" t="s">
        <v>1050</v>
      </c>
      <c r="I356" s="6" t="s">
        <v>859</v>
      </c>
      <c r="K356" s="6">
        <v>0.13300000000000001</v>
      </c>
    </row>
    <row r="357" spans="3:11">
      <c r="D357" s="9" t="s">
        <v>971</v>
      </c>
      <c r="I357" s="6" t="s">
        <v>859</v>
      </c>
      <c r="K357" s="6">
        <v>1.0169999999999999</v>
      </c>
    </row>
    <row r="358" spans="3:11">
      <c r="D358" s="7" t="s">
        <v>1051</v>
      </c>
      <c r="I358" s="6" t="s">
        <v>859</v>
      </c>
      <c r="K358" s="8">
        <v>1.02</v>
      </c>
    </row>
    <row r="359" spans="3:11">
      <c r="C359" s="6" t="s">
        <v>1052</v>
      </c>
    </row>
    <row r="360" spans="3:11">
      <c r="D360" s="6" t="s">
        <v>1049</v>
      </c>
      <c r="I360" s="6" t="s">
        <v>859</v>
      </c>
      <c r="K360" s="6">
        <v>0.54900000000000004</v>
      </c>
    </row>
    <row r="361" spans="3:11">
      <c r="D361" s="6" t="s">
        <v>1053</v>
      </c>
      <c r="I361" s="6" t="s">
        <v>859</v>
      </c>
      <c r="K361" s="37">
        <v>0.11</v>
      </c>
    </row>
    <row r="362" spans="3:11">
      <c r="D362" s="9" t="s">
        <v>971</v>
      </c>
      <c r="I362" s="6" t="s">
        <v>859</v>
      </c>
      <c r="K362" s="6">
        <v>0.65900000000000003</v>
      </c>
    </row>
    <row r="363" spans="3:11">
      <c r="D363" s="7" t="s">
        <v>1054</v>
      </c>
      <c r="E363" s="8"/>
      <c r="F363" s="8"/>
      <c r="G363" s="8"/>
      <c r="H363" s="8"/>
      <c r="I363" s="8" t="s">
        <v>859</v>
      </c>
      <c r="J363" s="8"/>
      <c r="K363" s="8">
        <v>0.66</v>
      </c>
    </row>
    <row r="364" spans="3:11">
      <c r="C364" s="9" t="s">
        <v>1055</v>
      </c>
      <c r="D364" s="6" t="s">
        <v>1056</v>
      </c>
    </row>
    <row r="365" spans="3:11">
      <c r="C365" s="6" t="s">
        <v>1048</v>
      </c>
    </row>
    <row r="366" spans="3:11">
      <c r="D366" s="6" t="s">
        <v>1049</v>
      </c>
      <c r="I366" s="6" t="s">
        <v>859</v>
      </c>
      <c r="K366" s="6">
        <v>0.89200000000000002</v>
      </c>
    </row>
    <row r="367" spans="3:11">
      <c r="D367" s="6" t="s">
        <v>1050</v>
      </c>
      <c r="I367" s="6" t="s">
        <v>859</v>
      </c>
      <c r="K367" s="6">
        <v>0.13400000000000001</v>
      </c>
    </row>
    <row r="368" spans="3:11">
      <c r="D368" s="9" t="s">
        <v>971</v>
      </c>
      <c r="I368" s="6" t="s">
        <v>859</v>
      </c>
      <c r="K368" s="6">
        <v>1.026</v>
      </c>
    </row>
    <row r="369" spans="3:45">
      <c r="D369" s="7" t="s">
        <v>1051</v>
      </c>
      <c r="E369" s="8"/>
      <c r="F369" s="8"/>
      <c r="G369" s="8"/>
      <c r="H369" s="8"/>
      <c r="I369" s="8" t="s">
        <v>859</v>
      </c>
      <c r="J369" s="8"/>
      <c r="K369" s="8">
        <v>1.03</v>
      </c>
    </row>
    <row r="370" spans="3:45">
      <c r="C370" s="6" t="s">
        <v>1052</v>
      </c>
    </row>
    <row r="371" spans="3:45">
      <c r="D371" s="6" t="s">
        <v>1049</v>
      </c>
      <c r="I371" s="6" t="s">
        <v>859</v>
      </c>
      <c r="K371" s="6">
        <v>0.54700000000000004</v>
      </c>
    </row>
    <row r="372" spans="3:45">
      <c r="D372" s="6" t="s">
        <v>1053</v>
      </c>
      <c r="I372" s="6" t="s">
        <v>859</v>
      </c>
      <c r="K372" s="6">
        <v>0.109</v>
      </c>
    </row>
    <row r="373" spans="3:45">
      <c r="D373" s="9" t="s">
        <v>971</v>
      </c>
      <c r="I373" s="6" t="s">
        <v>859</v>
      </c>
      <c r="K373" s="6">
        <v>0.65600000000000003</v>
      </c>
    </row>
    <row r="374" spans="3:45">
      <c r="D374" s="7" t="s">
        <v>1054</v>
      </c>
      <c r="E374" s="8"/>
      <c r="F374" s="8"/>
      <c r="G374" s="8"/>
      <c r="H374" s="8"/>
      <c r="I374" s="8" t="s">
        <v>859</v>
      </c>
      <c r="J374" s="8"/>
      <c r="K374" s="8">
        <v>0.66</v>
      </c>
    </row>
    <row r="375" spans="3:45">
      <c r="C375" s="9" t="s">
        <v>1057</v>
      </c>
      <c r="D375" s="6" t="s">
        <v>1058</v>
      </c>
    </row>
    <row r="376" spans="3:45">
      <c r="C376" s="6" t="s">
        <v>1059</v>
      </c>
    </row>
    <row r="377" spans="3:45">
      <c r="D377" s="6" t="s">
        <v>1049</v>
      </c>
      <c r="I377" s="6" t="s">
        <v>859</v>
      </c>
      <c r="K377" s="6">
        <v>0.66700000000000004</v>
      </c>
    </row>
    <row r="378" spans="3:45">
      <c r="D378" s="6" t="s">
        <v>1050</v>
      </c>
      <c r="I378" s="6" t="s">
        <v>859</v>
      </c>
      <c r="K378" s="37">
        <v>0.1</v>
      </c>
    </row>
    <row r="379" spans="3:45">
      <c r="D379" s="9" t="s">
        <v>971</v>
      </c>
      <c r="I379" s="6" t="s">
        <v>859</v>
      </c>
      <c r="K379" s="6">
        <v>0.76700000000000002</v>
      </c>
    </row>
    <row r="380" spans="3:45">
      <c r="D380" s="7" t="s">
        <v>1051</v>
      </c>
      <c r="E380" s="8"/>
      <c r="F380" s="8"/>
      <c r="G380" s="8"/>
      <c r="H380" s="8"/>
      <c r="I380" s="8" t="s">
        <v>859</v>
      </c>
      <c r="J380" s="8"/>
      <c r="K380" s="8">
        <v>0.77</v>
      </c>
    </row>
    <row r="381" spans="3:45">
      <c r="C381" s="6" t="s">
        <v>1052</v>
      </c>
    </row>
    <row r="382" spans="3:45">
      <c r="D382" s="6" t="s">
        <v>1049</v>
      </c>
      <c r="I382" s="6" t="s">
        <v>859</v>
      </c>
      <c r="K382" s="6">
        <v>0.91700000000000004</v>
      </c>
    </row>
    <row r="383" spans="3:45">
      <c r="D383" s="6" t="s">
        <v>1053</v>
      </c>
      <c r="I383" s="6" t="s">
        <v>859</v>
      </c>
      <c r="K383" s="6">
        <v>0.183</v>
      </c>
    </row>
    <row r="384" spans="3:45">
      <c r="D384" s="9" t="s">
        <v>971</v>
      </c>
      <c r="I384" s="6" t="s">
        <v>859</v>
      </c>
      <c r="K384" s="37">
        <v>1.1000000000000001</v>
      </c>
      <c r="Y384" s="38" t="s">
        <v>1060</v>
      </c>
      <c r="Z384" s="39" t="s">
        <v>1061</v>
      </c>
      <c r="AA384" s="40" t="s">
        <v>1062</v>
      </c>
      <c r="AB384" s="41" t="s">
        <v>994</v>
      </c>
      <c r="AC384" s="343" t="s">
        <v>1063</v>
      </c>
      <c r="AD384" s="344"/>
      <c r="AE384" s="344"/>
      <c r="AF384" s="345"/>
      <c r="AH384" s="42" t="s">
        <v>1064</v>
      </c>
      <c r="AI384" s="43"/>
      <c r="AJ384" s="43"/>
      <c r="AK384" s="43"/>
      <c r="AL384" s="43"/>
      <c r="AM384" s="43"/>
      <c r="AN384" s="43"/>
      <c r="AO384" s="44" t="s">
        <v>1065</v>
      </c>
      <c r="AP384" s="43"/>
      <c r="AQ384" s="43"/>
      <c r="AR384" s="43"/>
      <c r="AS384" s="43"/>
    </row>
    <row r="385" spans="1:18">
      <c r="D385" s="7" t="s">
        <v>1054</v>
      </c>
      <c r="E385" s="8"/>
      <c r="F385" s="8"/>
      <c r="G385" s="8"/>
      <c r="H385" s="8"/>
      <c r="I385" s="8" t="s">
        <v>859</v>
      </c>
      <c r="J385" s="8"/>
      <c r="K385" s="45">
        <v>1.1000000000000001</v>
      </c>
    </row>
    <row r="386" spans="1:18">
      <c r="A386" s="8">
        <v>15</v>
      </c>
      <c r="B386" s="8" t="s">
        <v>1066</v>
      </c>
      <c r="P386" s="8" t="s">
        <v>1067</v>
      </c>
      <c r="Q386" s="46">
        <v>1</v>
      </c>
      <c r="R386" s="8" t="s">
        <v>1068</v>
      </c>
    </row>
    <row r="387" spans="1:18">
      <c r="B387" s="9">
        <v>15.6</v>
      </c>
      <c r="C387" s="6" t="s">
        <v>1069</v>
      </c>
    </row>
    <row r="388" spans="1:18" ht="24">
      <c r="B388" s="9" t="s">
        <v>1070</v>
      </c>
      <c r="C388" s="47" t="s">
        <v>1071</v>
      </c>
    </row>
    <row r="389" spans="1:18">
      <c r="C389" s="6" t="s">
        <v>1072</v>
      </c>
      <c r="I389" s="6" t="s">
        <v>859</v>
      </c>
      <c r="K389" s="22">
        <f>'[4]วัสดุ+ค่าขนส่ง'!I79</f>
        <v>104.88431111201251</v>
      </c>
      <c r="L389" s="6" t="s">
        <v>964</v>
      </c>
    </row>
    <row r="390" spans="1:18">
      <c r="C390" s="6" t="s">
        <v>1073</v>
      </c>
      <c r="F390" s="22">
        <f>+K389</f>
        <v>104.88431111201251</v>
      </c>
      <c r="G390" s="9" t="s">
        <v>1074</v>
      </c>
      <c r="H390" s="9">
        <v>0.15</v>
      </c>
      <c r="I390" s="6" t="s">
        <v>859</v>
      </c>
      <c r="K390" s="22">
        <f>+F390*H390</f>
        <v>15.732646666801877</v>
      </c>
      <c r="L390" s="6" t="s">
        <v>964</v>
      </c>
    </row>
    <row r="391" spans="1:18">
      <c r="D391" s="6" t="s">
        <v>1075</v>
      </c>
      <c r="E391" s="6" t="s">
        <v>1076</v>
      </c>
      <c r="I391" s="6" t="s">
        <v>859</v>
      </c>
      <c r="K391" s="22">
        <f>+ROUNDDOWN(K389+K390,2)/4</f>
        <v>30.1525</v>
      </c>
      <c r="L391" s="6" t="s">
        <v>1077</v>
      </c>
    </row>
    <row r="392" spans="1:18" ht="24">
      <c r="B392" s="9" t="s">
        <v>1070</v>
      </c>
      <c r="C392" s="47" t="s">
        <v>1078</v>
      </c>
    </row>
    <row r="393" spans="1:18">
      <c r="C393" s="6" t="s">
        <v>1072</v>
      </c>
      <c r="I393" s="6" t="s">
        <v>859</v>
      </c>
      <c r="K393" s="22">
        <f>'[4]วัสดุ+ค่าขนส่ง'!I80</f>
        <v>569.05718979965388</v>
      </c>
      <c r="L393" s="6" t="s">
        <v>964</v>
      </c>
    </row>
    <row r="394" spans="1:18">
      <c r="C394" s="6" t="s">
        <v>1073</v>
      </c>
      <c r="F394" s="22">
        <f>+K393</f>
        <v>569.05718979965388</v>
      </c>
      <c r="G394" s="9" t="s">
        <v>1074</v>
      </c>
      <c r="H394" s="9">
        <v>0.15</v>
      </c>
      <c r="I394" s="6" t="s">
        <v>859</v>
      </c>
      <c r="K394" s="22">
        <f>+F394*H394</f>
        <v>85.358578469948085</v>
      </c>
      <c r="L394" s="6" t="s">
        <v>964</v>
      </c>
    </row>
    <row r="395" spans="1:18">
      <c r="D395" s="6" t="s">
        <v>1075</v>
      </c>
      <c r="E395" s="6" t="s">
        <v>1076</v>
      </c>
      <c r="I395" s="6" t="s">
        <v>859</v>
      </c>
      <c r="K395" s="22">
        <f>+ROUNDDOWN(K393+K394,2)/4</f>
        <v>163.60249999999999</v>
      </c>
      <c r="L395" s="6" t="s">
        <v>1077</v>
      </c>
    </row>
    <row r="396" spans="1:18" ht="24">
      <c r="B396" s="9" t="s">
        <v>1079</v>
      </c>
      <c r="C396" s="47" t="s">
        <v>1080</v>
      </c>
    </row>
    <row r="397" spans="1:18">
      <c r="C397" s="6" t="s">
        <v>1072</v>
      </c>
      <c r="I397" s="6" t="s">
        <v>859</v>
      </c>
      <c r="K397" s="22">
        <f>'[4]วัสดุ+ค่าขนส่ง'!I81</f>
        <v>859.48444445007817</v>
      </c>
      <c r="L397" s="6" t="s">
        <v>964</v>
      </c>
    </row>
    <row r="398" spans="1:18">
      <c r="C398" s="6" t="s">
        <v>1073</v>
      </c>
      <c r="F398" s="22">
        <f>+K397</f>
        <v>859.48444445007817</v>
      </c>
      <c r="G398" s="9" t="s">
        <v>1074</v>
      </c>
      <c r="H398" s="9">
        <v>0.15</v>
      </c>
      <c r="I398" s="6" t="s">
        <v>859</v>
      </c>
      <c r="K398" s="22">
        <f>+F398*H398</f>
        <v>128.92266666751172</v>
      </c>
      <c r="L398" s="6" t="s">
        <v>964</v>
      </c>
    </row>
    <row r="399" spans="1:18">
      <c r="D399" s="6" t="s">
        <v>1075</v>
      </c>
      <c r="E399" s="6" t="s">
        <v>1076</v>
      </c>
      <c r="I399" s="6" t="s">
        <v>859</v>
      </c>
      <c r="K399" s="22">
        <f>+ROUNDDOWN(K397+K398,2)/4</f>
        <v>247.1</v>
      </c>
      <c r="L399" s="6" t="s">
        <v>1077</v>
      </c>
    </row>
    <row r="400" spans="1:18" ht="24">
      <c r="B400" s="9" t="s">
        <v>1081</v>
      </c>
      <c r="C400" s="47" t="s">
        <v>1082</v>
      </c>
    </row>
    <row r="401" spans="2:14">
      <c r="C401" s="6" t="s">
        <v>1072</v>
      </c>
      <c r="I401" s="6" t="s">
        <v>859</v>
      </c>
      <c r="K401" s="22">
        <f>'[4]วัสดุ+ค่าขนส่ง'!I82</f>
        <v>1207.3191199057846</v>
      </c>
      <c r="L401" s="6" t="s">
        <v>964</v>
      </c>
    </row>
    <row r="402" spans="2:14">
      <c r="C402" s="6" t="s">
        <v>1073</v>
      </c>
      <c r="F402" s="22">
        <f>+K401</f>
        <v>1207.3191199057846</v>
      </c>
      <c r="G402" s="9" t="s">
        <v>1074</v>
      </c>
      <c r="H402" s="9">
        <v>0.15</v>
      </c>
      <c r="I402" s="6" t="s">
        <v>859</v>
      </c>
      <c r="K402" s="22">
        <f>+F402*H402</f>
        <v>181.09786798586768</v>
      </c>
      <c r="L402" s="6" t="s">
        <v>964</v>
      </c>
    </row>
    <row r="403" spans="2:14">
      <c r="D403" s="6" t="s">
        <v>1075</v>
      </c>
      <c r="E403" s="6" t="s">
        <v>1076</v>
      </c>
      <c r="I403" s="6" t="s">
        <v>859</v>
      </c>
      <c r="K403" s="22">
        <f>+ROUNDDOWN(K401+K402,2)/4</f>
        <v>347.10250000000002</v>
      </c>
      <c r="L403" s="6" t="s">
        <v>1077</v>
      </c>
    </row>
    <row r="404" spans="2:14" ht="24">
      <c r="B404" s="9" t="s">
        <v>1083</v>
      </c>
      <c r="C404" s="47" t="s">
        <v>1084</v>
      </c>
    </row>
    <row r="405" spans="2:14">
      <c r="C405" s="6" t="s">
        <v>1072</v>
      </c>
      <c r="I405" s="6" t="s">
        <v>859</v>
      </c>
      <c r="K405" s="22">
        <f>'[4]วัสดุ+ค่าขนส่ง'!I83</f>
        <v>1944.2504653195331</v>
      </c>
      <c r="L405" s="6" t="s">
        <v>964</v>
      </c>
    </row>
    <row r="406" spans="2:14">
      <c r="C406" s="6" t="s">
        <v>1073</v>
      </c>
      <c r="F406" s="22">
        <f>+K405</f>
        <v>1944.2504653195331</v>
      </c>
      <c r="G406" s="9" t="s">
        <v>1074</v>
      </c>
      <c r="H406" s="9">
        <v>0.15</v>
      </c>
      <c r="I406" s="6" t="s">
        <v>859</v>
      </c>
      <c r="K406" s="22">
        <f>+F406*H406</f>
        <v>291.63756979792993</v>
      </c>
      <c r="L406" s="6" t="s">
        <v>964</v>
      </c>
    </row>
    <row r="407" spans="2:14">
      <c r="D407" s="6" t="s">
        <v>1075</v>
      </c>
      <c r="E407" s="6" t="s">
        <v>1076</v>
      </c>
      <c r="I407" s="6" t="s">
        <v>859</v>
      </c>
      <c r="K407" s="22">
        <f>+ROUNDDOWN(K405+K406,2)/4</f>
        <v>558.97</v>
      </c>
      <c r="L407" s="6" t="s">
        <v>1077</v>
      </c>
    </row>
    <row r="408" spans="2:14" ht="24">
      <c r="B408" s="9" t="s">
        <v>1085</v>
      </c>
      <c r="C408" s="47" t="s">
        <v>1086</v>
      </c>
    </row>
    <row r="409" spans="2:14">
      <c r="C409" s="6" t="s">
        <v>1072</v>
      </c>
      <c r="I409" s="6" t="s">
        <v>859</v>
      </c>
      <c r="K409" s="22">
        <f>'[4]วัสดุ+ค่าขนส่ง'!I84</f>
        <v>2817.2712260408994</v>
      </c>
      <c r="L409" s="6" t="s">
        <v>964</v>
      </c>
    </row>
    <row r="410" spans="2:14">
      <c r="C410" s="6" t="s">
        <v>1073</v>
      </c>
      <c r="F410" s="22">
        <f>+K409</f>
        <v>2817.2712260408994</v>
      </c>
      <c r="G410" s="9" t="s">
        <v>1074</v>
      </c>
      <c r="H410" s="9">
        <v>0.15</v>
      </c>
      <c r="I410" s="6" t="s">
        <v>859</v>
      </c>
      <c r="K410" s="22">
        <f>+F410*H410</f>
        <v>422.59068390613487</v>
      </c>
      <c r="L410" s="6" t="s">
        <v>964</v>
      </c>
    </row>
    <row r="411" spans="2:14">
      <c r="D411" s="6" t="s">
        <v>1075</v>
      </c>
      <c r="E411" s="6" t="s">
        <v>1076</v>
      </c>
      <c r="I411" s="6" t="s">
        <v>859</v>
      </c>
      <c r="K411" s="22">
        <f>+ROUNDDOWN(K409+K410,2)/4</f>
        <v>809.96500000000003</v>
      </c>
      <c r="L411" s="6" t="s">
        <v>1077</v>
      </c>
    </row>
    <row r="412" spans="2:14" ht="24">
      <c r="B412" s="9" t="s">
        <v>1087</v>
      </c>
      <c r="C412" s="47" t="s">
        <v>1088</v>
      </c>
    </row>
    <row r="413" spans="2:14">
      <c r="C413" s="6" t="s">
        <v>1072</v>
      </c>
      <c r="I413" s="6" t="s">
        <v>859</v>
      </c>
      <c r="K413" s="22">
        <f>'[4]วัสดุ+ค่าขนส่ง'!I85</f>
        <v>3970.3114020698831</v>
      </c>
      <c r="L413" s="6" t="s">
        <v>964</v>
      </c>
    </row>
    <row r="414" spans="2:14">
      <c r="C414" s="6" t="s">
        <v>1073</v>
      </c>
      <c r="F414" s="22">
        <f>+K413</f>
        <v>3970.3114020698831</v>
      </c>
      <c r="G414" s="9" t="s">
        <v>1074</v>
      </c>
      <c r="H414" s="9">
        <v>0.15</v>
      </c>
      <c r="I414" s="6" t="s">
        <v>859</v>
      </c>
      <c r="K414" s="22">
        <f>+F414*H414</f>
        <v>595.54671031048247</v>
      </c>
      <c r="L414" s="6" t="s">
        <v>964</v>
      </c>
    </row>
    <row r="415" spans="2:14">
      <c r="D415" s="6" t="s">
        <v>1075</v>
      </c>
      <c r="E415" s="6" t="s">
        <v>1076</v>
      </c>
      <c r="I415" s="6" t="s">
        <v>859</v>
      </c>
      <c r="K415" s="22">
        <f>+ROUNDDOWN(K413+K414,2)/4</f>
        <v>1141.4625000000001</v>
      </c>
      <c r="L415" s="6" t="s">
        <v>1077</v>
      </c>
      <c r="N415" s="11"/>
    </row>
    <row r="416" spans="2:14" ht="24">
      <c r="B416" s="9" t="s">
        <v>1089</v>
      </c>
      <c r="C416" s="47" t="s">
        <v>1090</v>
      </c>
    </row>
    <row r="417" spans="2:12">
      <c r="C417" s="6" t="s">
        <v>1072</v>
      </c>
      <c r="I417" s="6" t="s">
        <v>859</v>
      </c>
      <c r="K417" s="22">
        <f>'[4]วัสดุ+ค่าขนส่ง'!I86</f>
        <v>5713.7428288375359</v>
      </c>
      <c r="L417" s="6" t="s">
        <v>964</v>
      </c>
    </row>
    <row r="418" spans="2:12">
      <c r="C418" s="6" t="s">
        <v>1073</v>
      </c>
      <c r="F418" s="22">
        <f>+K417</f>
        <v>5713.7428288375359</v>
      </c>
      <c r="G418" s="9" t="s">
        <v>1074</v>
      </c>
      <c r="H418" s="9">
        <v>0.15</v>
      </c>
      <c r="I418" s="6" t="s">
        <v>859</v>
      </c>
      <c r="K418" s="22">
        <f>+F418*H418</f>
        <v>857.06142432563036</v>
      </c>
      <c r="L418" s="6" t="s">
        <v>964</v>
      </c>
    </row>
    <row r="419" spans="2:12">
      <c r="D419" s="6" t="s">
        <v>1075</v>
      </c>
      <c r="E419" s="6" t="s">
        <v>1076</v>
      </c>
      <c r="I419" s="6" t="s">
        <v>859</v>
      </c>
      <c r="K419" s="22">
        <f>+ROUNDDOWN(K417+K418,2)/4</f>
        <v>1642.7</v>
      </c>
      <c r="L419" s="6" t="s">
        <v>1077</v>
      </c>
    </row>
    <row r="420" spans="2:12" ht="24">
      <c r="B420" s="9" t="s">
        <v>1091</v>
      </c>
      <c r="C420" s="47" t="s">
        <v>1092</v>
      </c>
    </row>
    <row r="421" spans="2:12">
      <c r="C421" s="6" t="s">
        <v>1072</v>
      </c>
      <c r="I421" s="6" t="s">
        <v>859</v>
      </c>
      <c r="K421" s="22">
        <f>'[4]วัสดุ+ค่าขนส่ง'!I87</f>
        <v>7346.7300000507039</v>
      </c>
      <c r="L421" s="6" t="s">
        <v>964</v>
      </c>
    </row>
    <row r="422" spans="2:12">
      <c r="C422" s="6" t="s">
        <v>1073</v>
      </c>
      <c r="F422" s="22">
        <f>+K421</f>
        <v>7346.7300000507039</v>
      </c>
      <c r="G422" s="9" t="s">
        <v>1074</v>
      </c>
      <c r="H422" s="9">
        <v>0.15</v>
      </c>
      <c r="I422" s="6" t="s">
        <v>859</v>
      </c>
      <c r="K422" s="22">
        <f>+F422*H422</f>
        <v>1102.0095000076055</v>
      </c>
      <c r="L422" s="6" t="s">
        <v>964</v>
      </c>
    </row>
    <row r="423" spans="2:12">
      <c r="D423" s="6" t="s">
        <v>1075</v>
      </c>
      <c r="E423" s="6" t="s">
        <v>1076</v>
      </c>
      <c r="I423" s="6" t="s">
        <v>859</v>
      </c>
      <c r="K423" s="22">
        <f>+ROUNDDOWN(K421+K422,2)/4</f>
        <v>2112.1824999999999</v>
      </c>
      <c r="L423" s="6" t="s">
        <v>1077</v>
      </c>
    </row>
    <row r="424" spans="2:12" ht="24">
      <c r="B424" s="9" t="s">
        <v>1093</v>
      </c>
      <c r="C424" s="47" t="s">
        <v>1094</v>
      </c>
    </row>
    <row r="425" spans="2:12">
      <c r="C425" s="6" t="s">
        <v>1072</v>
      </c>
      <c r="I425" s="6" t="s">
        <v>859</v>
      </c>
      <c r="K425" s="22">
        <f>'[4]วัสดุ+ค่าขนส่ง'!I88</f>
        <v>10353.311876480728</v>
      </c>
      <c r="L425" s="6" t="s">
        <v>964</v>
      </c>
    </row>
    <row r="426" spans="2:12">
      <c r="C426" s="6" t="s">
        <v>1073</v>
      </c>
      <c r="F426" s="22">
        <f>+K425</f>
        <v>10353.311876480728</v>
      </c>
      <c r="G426" s="9" t="s">
        <v>1074</v>
      </c>
      <c r="H426" s="9">
        <v>0.15</v>
      </c>
      <c r="I426" s="6" t="s">
        <v>859</v>
      </c>
      <c r="K426" s="22">
        <f>+F426*H426</f>
        <v>1552.9967814721092</v>
      </c>
      <c r="L426" s="6" t="s">
        <v>964</v>
      </c>
    </row>
    <row r="427" spans="2:12">
      <c r="D427" s="6" t="s">
        <v>1075</v>
      </c>
      <c r="E427" s="6" t="s">
        <v>1076</v>
      </c>
      <c r="I427" s="6" t="s">
        <v>859</v>
      </c>
      <c r="K427" s="22">
        <f>+ROUNDDOWN(K425+K426,2)/4</f>
        <v>2976.5749999999998</v>
      </c>
      <c r="L427" s="6" t="s">
        <v>1077</v>
      </c>
    </row>
    <row r="428" spans="2:12" ht="24">
      <c r="B428" s="9" t="s">
        <v>1095</v>
      </c>
      <c r="C428" s="47" t="s">
        <v>1096</v>
      </c>
    </row>
    <row r="429" spans="2:12">
      <c r="C429" s="6" t="s">
        <v>1072</v>
      </c>
      <c r="I429" s="6" t="s">
        <v>859</v>
      </c>
      <c r="K429" s="22">
        <f>'[4]วัสดุ+ค่าขนส่ง'!I89</f>
        <v>13294.228458127609</v>
      </c>
      <c r="L429" s="6" t="s">
        <v>964</v>
      </c>
    </row>
    <row r="430" spans="2:12">
      <c r="C430" s="6" t="s">
        <v>1073</v>
      </c>
      <c r="F430" s="22">
        <f>+K429</f>
        <v>13294.228458127609</v>
      </c>
      <c r="G430" s="9" t="s">
        <v>1074</v>
      </c>
      <c r="H430" s="9">
        <v>0.15</v>
      </c>
      <c r="I430" s="6" t="s">
        <v>859</v>
      </c>
      <c r="K430" s="22">
        <f>+F430*H430</f>
        <v>1994.1342687191413</v>
      </c>
      <c r="L430" s="6" t="s">
        <v>964</v>
      </c>
    </row>
    <row r="431" spans="2:12">
      <c r="D431" s="6" t="s">
        <v>1075</v>
      </c>
      <c r="E431" s="6" t="s">
        <v>1076</v>
      </c>
      <c r="I431" s="6" t="s">
        <v>859</v>
      </c>
      <c r="K431" s="22">
        <f>+ROUNDDOWN(K429+K430,2)/4</f>
        <v>3822.09</v>
      </c>
      <c r="L431" s="6" t="s">
        <v>1077</v>
      </c>
    </row>
    <row r="432" spans="2:12" ht="24">
      <c r="B432" s="9" t="s">
        <v>1097</v>
      </c>
      <c r="C432" s="47" t="s">
        <v>1098</v>
      </c>
    </row>
    <row r="433" spans="2:12">
      <c r="C433" s="6" t="s">
        <v>1072</v>
      </c>
      <c r="I433" s="6" t="s">
        <v>859</v>
      </c>
      <c r="K433" s="22">
        <f>'[4]วัสดุ+ค่าขนส่ง'!I90</f>
        <v>19210.747500114081</v>
      </c>
      <c r="L433" s="6" t="s">
        <v>964</v>
      </c>
    </row>
    <row r="434" spans="2:12">
      <c r="C434" s="6" t="s">
        <v>1073</v>
      </c>
      <c r="F434" s="22">
        <f>+K433</f>
        <v>19210.747500114081</v>
      </c>
      <c r="G434" s="9" t="s">
        <v>1074</v>
      </c>
      <c r="H434" s="9">
        <v>0.15</v>
      </c>
      <c r="I434" s="6" t="s">
        <v>859</v>
      </c>
      <c r="K434" s="22">
        <f>+F434*H434</f>
        <v>2881.6121250171122</v>
      </c>
      <c r="L434" s="6" t="s">
        <v>964</v>
      </c>
    </row>
    <row r="435" spans="2:12">
      <c r="D435" s="6" t="s">
        <v>1075</v>
      </c>
      <c r="E435" s="6" t="s">
        <v>1076</v>
      </c>
      <c r="I435" s="6" t="s">
        <v>859</v>
      </c>
      <c r="K435" s="22">
        <f>+ROUNDDOWN(K433+K434,2)/4</f>
        <v>5523.0874999999996</v>
      </c>
      <c r="L435" s="6" t="s">
        <v>1077</v>
      </c>
    </row>
    <row r="436" spans="2:12" ht="24">
      <c r="B436" s="9" t="s">
        <v>1099</v>
      </c>
      <c r="C436" s="47" t="s">
        <v>1100</v>
      </c>
    </row>
    <row r="437" spans="2:12">
      <c r="C437" s="6" t="s">
        <v>1072</v>
      </c>
      <c r="I437" s="6" t="s">
        <v>859</v>
      </c>
      <c r="K437" s="22">
        <f>'[4]วัสดุ+ค่าขนส่ง'!I92</f>
        <v>851.15718979965391</v>
      </c>
      <c r="L437" s="6" t="s">
        <v>964</v>
      </c>
    </row>
    <row r="438" spans="2:12">
      <c r="C438" s="6" t="s">
        <v>1073</v>
      </c>
      <c r="F438" s="22">
        <f>+K437</f>
        <v>851.15718979965391</v>
      </c>
      <c r="G438" s="9" t="s">
        <v>1074</v>
      </c>
      <c r="H438" s="9">
        <v>0.15</v>
      </c>
      <c r="I438" s="6" t="s">
        <v>859</v>
      </c>
      <c r="K438" s="22">
        <f>+F438*H438</f>
        <v>127.67357846994808</v>
      </c>
      <c r="L438" s="6" t="s">
        <v>964</v>
      </c>
    </row>
    <row r="439" spans="2:12">
      <c r="D439" s="6" t="s">
        <v>1075</v>
      </c>
      <c r="E439" s="6" t="s">
        <v>1076</v>
      </c>
      <c r="I439" s="6" t="s">
        <v>859</v>
      </c>
      <c r="K439" s="22">
        <f>+ROUNDDOWN(K437+K438,2)/4</f>
        <v>244.70750000000001</v>
      </c>
      <c r="L439" s="6" t="s">
        <v>1077</v>
      </c>
    </row>
    <row r="440" spans="2:12" ht="24">
      <c r="B440" s="9" t="s">
        <v>1101</v>
      </c>
      <c r="C440" s="47" t="s">
        <v>1102</v>
      </c>
    </row>
    <row r="441" spans="2:12">
      <c r="C441" s="6" t="s">
        <v>1072</v>
      </c>
      <c r="I441" s="6" t="s">
        <v>859</v>
      </c>
      <c r="K441" s="22">
        <f>'[4]วัสดุ+ค่าขนส่ง'!I93</f>
        <v>1284.0644444500781</v>
      </c>
      <c r="L441" s="6" t="s">
        <v>964</v>
      </c>
    </row>
    <row r="442" spans="2:12">
      <c r="C442" s="6" t="s">
        <v>1073</v>
      </c>
      <c r="F442" s="22">
        <f>+K441</f>
        <v>1284.0644444500781</v>
      </c>
      <c r="G442" s="9" t="s">
        <v>1074</v>
      </c>
      <c r="H442" s="9">
        <v>0.15</v>
      </c>
      <c r="I442" s="6" t="s">
        <v>859</v>
      </c>
      <c r="K442" s="22">
        <f>+F442*H442</f>
        <v>192.6096666675117</v>
      </c>
      <c r="L442" s="6" t="s">
        <v>964</v>
      </c>
    </row>
    <row r="443" spans="2:12">
      <c r="D443" s="6" t="s">
        <v>1075</v>
      </c>
      <c r="E443" s="6" t="s">
        <v>1076</v>
      </c>
      <c r="I443" s="6" t="s">
        <v>859</v>
      </c>
      <c r="K443" s="22">
        <f>+ROUNDDOWN(K441+K442,2)/4</f>
        <v>369.16750000000002</v>
      </c>
      <c r="L443" s="6" t="s">
        <v>1077</v>
      </c>
    </row>
    <row r="444" spans="2:12" ht="24">
      <c r="B444" s="9" t="s">
        <v>1103</v>
      </c>
      <c r="C444" s="47" t="s">
        <v>1104</v>
      </c>
    </row>
    <row r="445" spans="2:12">
      <c r="C445" s="6" t="s">
        <v>1072</v>
      </c>
      <c r="I445" s="6" t="s">
        <v>859</v>
      </c>
      <c r="K445" s="22">
        <f>'[4]วัสดุ+ค่าขนส่ง'!I94</f>
        <v>1804.6091199057846</v>
      </c>
      <c r="L445" s="6" t="s">
        <v>964</v>
      </c>
    </row>
    <row r="446" spans="2:12">
      <c r="C446" s="6" t="s">
        <v>1073</v>
      </c>
      <c r="F446" s="22">
        <f>+K445</f>
        <v>1804.6091199057846</v>
      </c>
      <c r="G446" s="9" t="s">
        <v>1074</v>
      </c>
      <c r="H446" s="9">
        <v>0.15</v>
      </c>
      <c r="I446" s="6" t="s">
        <v>859</v>
      </c>
      <c r="K446" s="22">
        <f>+F446*H446</f>
        <v>270.69136798586766</v>
      </c>
      <c r="L446" s="6" t="s">
        <v>964</v>
      </c>
    </row>
    <row r="447" spans="2:12">
      <c r="D447" s="6" t="s">
        <v>1075</v>
      </c>
      <c r="E447" s="6" t="s">
        <v>1076</v>
      </c>
      <c r="I447" s="6" t="s">
        <v>859</v>
      </c>
      <c r="K447" s="22">
        <f>+ROUNDDOWN(K445+K446,2)/4</f>
        <v>518.82500000000005</v>
      </c>
      <c r="L447" s="6" t="s">
        <v>1077</v>
      </c>
    </row>
    <row r="448" spans="2:12" ht="24">
      <c r="B448" s="9" t="s">
        <v>1105</v>
      </c>
      <c r="C448" s="47" t="s">
        <v>1106</v>
      </c>
    </row>
    <row r="449" spans="2:14">
      <c r="C449" s="6" t="s">
        <v>1072</v>
      </c>
      <c r="I449" s="6" t="s">
        <v>859</v>
      </c>
      <c r="K449" s="22">
        <f>'[4]วัสดุ+ค่าขนส่ง'!I95</f>
        <v>3074.0604653195333</v>
      </c>
      <c r="L449" s="6" t="s">
        <v>964</v>
      </c>
    </row>
    <row r="450" spans="2:14">
      <c r="C450" s="6" t="s">
        <v>1073</v>
      </c>
      <c r="F450" s="22">
        <f>+K449</f>
        <v>3074.0604653195333</v>
      </c>
      <c r="G450" s="9" t="s">
        <v>1074</v>
      </c>
      <c r="H450" s="9">
        <v>0.15</v>
      </c>
      <c r="I450" s="6" t="s">
        <v>859</v>
      </c>
      <c r="K450" s="22">
        <f>+F450*H450</f>
        <v>461.10906979792998</v>
      </c>
      <c r="L450" s="6" t="s">
        <v>964</v>
      </c>
    </row>
    <row r="451" spans="2:14">
      <c r="D451" s="6" t="s">
        <v>1075</v>
      </c>
      <c r="E451" s="6" t="s">
        <v>1076</v>
      </c>
      <c r="I451" s="6" t="s">
        <v>859</v>
      </c>
      <c r="K451" s="22">
        <f>+ROUNDDOWN(K449+K450,2)/4</f>
        <v>883.79</v>
      </c>
      <c r="L451" s="6" t="s">
        <v>1077</v>
      </c>
    </row>
    <row r="452" spans="2:14" ht="24">
      <c r="B452" s="9" t="s">
        <v>1107</v>
      </c>
      <c r="C452" s="47" t="s">
        <v>1108</v>
      </c>
    </row>
    <row r="453" spans="2:14">
      <c r="C453" s="6" t="s">
        <v>1072</v>
      </c>
      <c r="I453" s="6" t="s">
        <v>859</v>
      </c>
      <c r="K453" s="22">
        <f>'[4]วัสดุ+ค่าขนส่ง'!I96</f>
        <v>4623.5312260408991</v>
      </c>
      <c r="L453" s="6" t="s">
        <v>964</v>
      </c>
    </row>
    <row r="454" spans="2:14">
      <c r="C454" s="6" t="s">
        <v>1073</v>
      </c>
      <c r="F454" s="22">
        <f>+K453</f>
        <v>4623.5312260408991</v>
      </c>
      <c r="G454" s="9" t="s">
        <v>1074</v>
      </c>
      <c r="H454" s="9">
        <v>0.15</v>
      </c>
      <c r="I454" s="6" t="s">
        <v>859</v>
      </c>
      <c r="K454" s="22">
        <f>+F454*H454</f>
        <v>693.52968390613489</v>
      </c>
      <c r="L454" s="6" t="s">
        <v>964</v>
      </c>
    </row>
    <row r="455" spans="2:14">
      <c r="D455" s="6" t="s">
        <v>1075</v>
      </c>
      <c r="E455" s="6" t="s">
        <v>1076</v>
      </c>
      <c r="I455" s="6" t="s">
        <v>859</v>
      </c>
      <c r="K455" s="22">
        <f>+ROUNDDOWN(K453+K454,2)/4</f>
        <v>1329.2650000000001</v>
      </c>
      <c r="L455" s="6" t="s">
        <v>1077</v>
      </c>
    </row>
    <row r="456" spans="2:14" ht="24">
      <c r="B456" s="9" t="s">
        <v>1109</v>
      </c>
      <c r="C456" s="47" t="s">
        <v>1110</v>
      </c>
    </row>
    <row r="457" spans="2:14">
      <c r="C457" s="6" t="s">
        <v>1072</v>
      </c>
      <c r="I457" s="6" t="s">
        <v>859</v>
      </c>
      <c r="K457" s="22">
        <f>'[4]วัสดุ+ค่าขนส่ง'!I97</f>
        <v>6553.7714020698832</v>
      </c>
      <c r="L457" s="6" t="s">
        <v>964</v>
      </c>
    </row>
    <row r="458" spans="2:14">
      <c r="C458" s="6" t="s">
        <v>1073</v>
      </c>
      <c r="F458" s="22">
        <f>+K457</f>
        <v>6553.7714020698832</v>
      </c>
      <c r="G458" s="9" t="s">
        <v>1074</v>
      </c>
      <c r="H458" s="9">
        <v>0.15</v>
      </c>
      <c r="I458" s="6" t="s">
        <v>859</v>
      </c>
      <c r="K458" s="22">
        <f>+F458*H458</f>
        <v>983.06571031048247</v>
      </c>
      <c r="L458" s="6" t="s">
        <v>964</v>
      </c>
    </row>
    <row r="459" spans="2:14">
      <c r="D459" s="6" t="s">
        <v>1075</v>
      </c>
      <c r="E459" s="6" t="s">
        <v>1076</v>
      </c>
      <c r="I459" s="6" t="s">
        <v>859</v>
      </c>
      <c r="K459" s="22">
        <f>+ROUNDDOWN(K457+K458,2)/4</f>
        <v>1884.2075</v>
      </c>
      <c r="L459" s="6" t="s">
        <v>1077</v>
      </c>
      <c r="N459" s="11"/>
    </row>
    <row r="460" spans="2:14" ht="24">
      <c r="B460" s="9" t="s">
        <v>1111</v>
      </c>
      <c r="C460" s="47" t="s">
        <v>1112</v>
      </c>
    </row>
    <row r="461" spans="2:14">
      <c r="C461" s="6" t="s">
        <v>1072</v>
      </c>
      <c r="I461" s="6" t="s">
        <v>859</v>
      </c>
      <c r="K461" s="22">
        <f>'[4]วัสดุ+ค่าขนส่ง'!I98</f>
        <v>8808.1328288375353</v>
      </c>
      <c r="L461" s="6" t="s">
        <v>964</v>
      </c>
    </row>
    <row r="462" spans="2:14">
      <c r="C462" s="6" t="s">
        <v>1073</v>
      </c>
      <c r="F462" s="22">
        <f>+K461</f>
        <v>8808.1328288375353</v>
      </c>
      <c r="G462" s="9" t="s">
        <v>1074</v>
      </c>
      <c r="H462" s="9">
        <v>0.15</v>
      </c>
      <c r="I462" s="6" t="s">
        <v>859</v>
      </c>
      <c r="K462" s="22">
        <f>+F462*H462</f>
        <v>1321.2199243256302</v>
      </c>
      <c r="L462" s="6" t="s">
        <v>964</v>
      </c>
    </row>
    <row r="463" spans="2:14">
      <c r="D463" s="6" t="s">
        <v>1075</v>
      </c>
      <c r="E463" s="6" t="s">
        <v>1076</v>
      </c>
      <c r="I463" s="6" t="s">
        <v>859</v>
      </c>
      <c r="K463" s="22">
        <f>+ROUNDDOWN(K461+K462,2)/4</f>
        <v>2532.3375000000001</v>
      </c>
      <c r="L463" s="6" t="s">
        <v>1077</v>
      </c>
    </row>
    <row r="464" spans="2:14" ht="24">
      <c r="B464" s="9" t="s">
        <v>1113</v>
      </c>
      <c r="C464" s="47" t="s">
        <v>1114</v>
      </c>
    </row>
    <row r="465" spans="2:12">
      <c r="C465" s="6" t="s">
        <v>1072</v>
      </c>
      <c r="I465" s="6" t="s">
        <v>859</v>
      </c>
      <c r="K465" s="22">
        <f>'[4]วัสดุ+ค่าขนส่ง'!I99</f>
        <v>11074.390000050702</v>
      </c>
      <c r="L465" s="6" t="s">
        <v>964</v>
      </c>
    </row>
    <row r="466" spans="2:12">
      <c r="C466" s="6" t="s">
        <v>1073</v>
      </c>
      <c r="F466" s="22">
        <f>+K465</f>
        <v>11074.390000050702</v>
      </c>
      <c r="G466" s="9" t="s">
        <v>1074</v>
      </c>
      <c r="H466" s="9">
        <v>0.15</v>
      </c>
      <c r="I466" s="6" t="s">
        <v>859</v>
      </c>
      <c r="K466" s="22">
        <f>+F466*H466</f>
        <v>1661.1585000076052</v>
      </c>
      <c r="L466" s="6" t="s">
        <v>964</v>
      </c>
    </row>
    <row r="467" spans="2:12">
      <c r="D467" s="6" t="s">
        <v>1075</v>
      </c>
      <c r="E467" s="6" t="s">
        <v>1076</v>
      </c>
      <c r="I467" s="6" t="s">
        <v>859</v>
      </c>
      <c r="K467" s="22">
        <f>+ROUNDDOWN(K465+K466,2)/4</f>
        <v>3183.8850000000002</v>
      </c>
      <c r="L467" s="6" t="s">
        <v>1077</v>
      </c>
    </row>
    <row r="468" spans="2:12" ht="24">
      <c r="B468" s="9" t="s">
        <v>1115</v>
      </c>
      <c r="C468" s="47" t="s">
        <v>1116</v>
      </c>
    </row>
    <row r="469" spans="2:12">
      <c r="C469" s="6" t="s">
        <v>1072</v>
      </c>
      <c r="I469" s="6" t="s">
        <v>859</v>
      </c>
      <c r="K469" s="22">
        <f>'[4]วัสดุ+ค่าขนส่ง'!I100</f>
        <v>16110.321876480728</v>
      </c>
      <c r="L469" s="6" t="s">
        <v>964</v>
      </c>
    </row>
    <row r="470" spans="2:12">
      <c r="C470" s="6" t="s">
        <v>1073</v>
      </c>
      <c r="F470" s="22">
        <f>+K469</f>
        <v>16110.321876480728</v>
      </c>
      <c r="G470" s="9" t="s">
        <v>1074</v>
      </c>
      <c r="H470" s="9">
        <v>0.15</v>
      </c>
      <c r="I470" s="6" t="s">
        <v>859</v>
      </c>
      <c r="K470" s="22">
        <f>+F470*H470</f>
        <v>2416.548281472109</v>
      </c>
      <c r="L470" s="6" t="s">
        <v>964</v>
      </c>
    </row>
    <row r="471" spans="2:12">
      <c r="D471" s="6" t="s">
        <v>1075</v>
      </c>
      <c r="E471" s="6" t="s">
        <v>1076</v>
      </c>
      <c r="I471" s="6" t="s">
        <v>859</v>
      </c>
      <c r="K471" s="22">
        <f>+ROUNDDOWN(K469+K470,2)/4</f>
        <v>4631.7174999999997</v>
      </c>
      <c r="L471" s="6" t="s">
        <v>1077</v>
      </c>
    </row>
    <row r="472" spans="2:12" ht="24">
      <c r="B472" s="9" t="s">
        <v>1117</v>
      </c>
      <c r="C472" s="47" t="s">
        <v>1118</v>
      </c>
    </row>
    <row r="473" spans="2:12">
      <c r="C473" s="6" t="s">
        <v>1072</v>
      </c>
      <c r="I473" s="6" t="s">
        <v>859</v>
      </c>
      <c r="K473" s="22">
        <f>'[4]วัสดุ+ค่าขนส่ง'!I101</f>
        <v>19770.86845812761</v>
      </c>
      <c r="L473" s="6" t="s">
        <v>964</v>
      </c>
    </row>
    <row r="474" spans="2:12">
      <c r="C474" s="6" t="s">
        <v>1073</v>
      </c>
      <c r="F474" s="22">
        <f>+K473</f>
        <v>19770.86845812761</v>
      </c>
      <c r="G474" s="9" t="s">
        <v>1074</v>
      </c>
      <c r="H474" s="9">
        <v>0.15</v>
      </c>
      <c r="I474" s="6" t="s">
        <v>859</v>
      </c>
      <c r="K474" s="22">
        <f>+F474*H474</f>
        <v>2965.6302687191414</v>
      </c>
      <c r="L474" s="6" t="s">
        <v>964</v>
      </c>
    </row>
    <row r="475" spans="2:12">
      <c r="D475" s="6" t="s">
        <v>1075</v>
      </c>
      <c r="E475" s="6" t="s">
        <v>1076</v>
      </c>
      <c r="I475" s="6" t="s">
        <v>859</v>
      </c>
      <c r="K475" s="22">
        <f>+ROUNDDOWN(K473+K474,2)/4</f>
        <v>5684.1225000000004</v>
      </c>
      <c r="L475" s="6" t="s">
        <v>1077</v>
      </c>
    </row>
    <row r="476" spans="2:12" ht="24">
      <c r="B476" s="9" t="s">
        <v>1119</v>
      </c>
      <c r="C476" s="47" t="s">
        <v>1120</v>
      </c>
    </row>
    <row r="477" spans="2:12">
      <c r="C477" s="6" t="s">
        <v>1072</v>
      </c>
      <c r="I477" s="6" t="s">
        <v>859</v>
      </c>
      <c r="K477" s="22">
        <f>'[4]วัสดุ+ค่าขนส่ง'!I102</f>
        <v>28565.88750011408</v>
      </c>
      <c r="L477" s="6" t="s">
        <v>964</v>
      </c>
    </row>
    <row r="478" spans="2:12">
      <c r="C478" s="6" t="s">
        <v>1073</v>
      </c>
      <c r="F478" s="22">
        <f>+K477</f>
        <v>28565.88750011408</v>
      </c>
      <c r="G478" s="9" t="s">
        <v>1074</v>
      </c>
      <c r="H478" s="9">
        <v>0.15</v>
      </c>
      <c r="I478" s="6" t="s">
        <v>859</v>
      </c>
      <c r="K478" s="22">
        <f>+F478*H478</f>
        <v>4284.8831250171115</v>
      </c>
      <c r="L478" s="6" t="s">
        <v>964</v>
      </c>
    </row>
    <row r="479" spans="2:12">
      <c r="D479" s="6" t="s">
        <v>1075</v>
      </c>
      <c r="E479" s="6" t="s">
        <v>1076</v>
      </c>
      <c r="I479" s="6" t="s">
        <v>859</v>
      </c>
      <c r="K479" s="22">
        <f>+ROUNDDOWN(K477+K478,2)/4</f>
        <v>8212.6924999999992</v>
      </c>
      <c r="L479" s="6" t="s">
        <v>1077</v>
      </c>
    </row>
    <row r="480" spans="2:12">
      <c r="B480" s="8" t="s">
        <v>884</v>
      </c>
      <c r="C480" s="6" t="s">
        <v>1121</v>
      </c>
    </row>
    <row r="481" spans="1:14">
      <c r="C481" s="6" t="s">
        <v>1122</v>
      </c>
    </row>
    <row r="482" spans="1:14">
      <c r="C482" s="6" t="s">
        <v>1123</v>
      </c>
    </row>
    <row r="483" spans="1:14">
      <c r="A483" s="8">
        <v>16</v>
      </c>
      <c r="B483" s="8" t="s">
        <v>1124</v>
      </c>
    </row>
    <row r="484" spans="1:14">
      <c r="B484" s="6" t="s">
        <v>1125</v>
      </c>
    </row>
    <row r="485" spans="1:14">
      <c r="B485" s="6" t="s">
        <v>1126</v>
      </c>
    </row>
    <row r="486" spans="1:14">
      <c r="B486" s="6" t="s">
        <v>1127</v>
      </c>
    </row>
    <row r="487" spans="1:14">
      <c r="C487" s="8" t="s">
        <v>34</v>
      </c>
    </row>
    <row r="488" spans="1:14">
      <c r="C488" s="6" t="s">
        <v>1128</v>
      </c>
      <c r="I488" s="6" t="s">
        <v>859</v>
      </c>
      <c r="K488" s="22">
        <f>J576</f>
        <v>200</v>
      </c>
      <c r="L488" s="6" t="s">
        <v>1129</v>
      </c>
      <c r="N488" s="36">
        <v>1</v>
      </c>
    </row>
    <row r="489" spans="1:14">
      <c r="C489" s="6" t="s">
        <v>1130</v>
      </c>
      <c r="E489" s="6" t="s">
        <v>859</v>
      </c>
      <c r="F489" s="6" t="s">
        <v>1131</v>
      </c>
      <c r="I489" s="6" t="s">
        <v>859</v>
      </c>
      <c r="K489" s="22">
        <f>0.15*K488</f>
        <v>30</v>
      </c>
      <c r="L489" s="6" t="s">
        <v>1129</v>
      </c>
      <c r="N489" s="36">
        <v>2</v>
      </c>
    </row>
    <row r="490" spans="1:14">
      <c r="D490" s="6" t="s">
        <v>1132</v>
      </c>
      <c r="I490" s="6" t="s">
        <v>859</v>
      </c>
      <c r="K490" s="22">
        <f>K488+K489</f>
        <v>230</v>
      </c>
      <c r="L490" s="6" t="s">
        <v>1129</v>
      </c>
    </row>
    <row r="491" spans="1:14">
      <c r="B491" s="8">
        <v>16.100000000000001</v>
      </c>
      <c r="C491" s="8" t="s">
        <v>1133</v>
      </c>
    </row>
    <row r="492" spans="1:14">
      <c r="C492" s="6" t="s">
        <v>1134</v>
      </c>
    </row>
    <row r="493" spans="1:14">
      <c r="C493" s="6" t="s">
        <v>1128</v>
      </c>
      <c r="I493" s="6" t="s">
        <v>859</v>
      </c>
      <c r="K493" s="22"/>
      <c r="L493" s="6" t="s">
        <v>1135</v>
      </c>
      <c r="N493" s="36">
        <v>1</v>
      </c>
    </row>
    <row r="494" spans="1:14">
      <c r="C494" s="6" t="s">
        <v>1130</v>
      </c>
      <c r="E494" s="6" t="s">
        <v>859</v>
      </c>
      <c r="F494" s="6" t="s">
        <v>1131</v>
      </c>
      <c r="I494" s="6" t="s">
        <v>859</v>
      </c>
      <c r="K494" s="22"/>
      <c r="L494" s="6" t="s">
        <v>1135</v>
      </c>
      <c r="N494" s="36">
        <v>2</v>
      </c>
    </row>
    <row r="495" spans="1:14">
      <c r="D495" s="6" t="s">
        <v>1132</v>
      </c>
      <c r="I495" s="6" t="s">
        <v>859</v>
      </c>
      <c r="K495" s="16"/>
      <c r="L495" s="6" t="s">
        <v>1135</v>
      </c>
    </row>
    <row r="496" spans="1:14">
      <c r="B496" s="8">
        <v>16.2</v>
      </c>
      <c r="C496" s="8" t="s">
        <v>1136</v>
      </c>
    </row>
    <row r="497" spans="3:14">
      <c r="C497" s="6" t="s">
        <v>1137</v>
      </c>
    </row>
    <row r="498" spans="3:14">
      <c r="C498" s="6" t="s">
        <v>1128</v>
      </c>
      <c r="I498" s="6" t="s">
        <v>859</v>
      </c>
      <c r="K498" s="22"/>
      <c r="L498" s="6" t="s">
        <v>860</v>
      </c>
      <c r="N498" s="36">
        <v>1</v>
      </c>
    </row>
    <row r="499" spans="3:14">
      <c r="C499" s="6" t="s">
        <v>1130</v>
      </c>
      <c r="E499" s="6" t="s">
        <v>859</v>
      </c>
      <c r="F499" s="6" t="s">
        <v>1131</v>
      </c>
      <c r="I499" s="6" t="s">
        <v>859</v>
      </c>
      <c r="K499" s="22"/>
      <c r="L499" s="6" t="s">
        <v>860</v>
      </c>
      <c r="N499" s="36">
        <v>2</v>
      </c>
    </row>
    <row r="500" spans="3:14">
      <c r="D500" s="6" t="s">
        <v>1132</v>
      </c>
      <c r="I500" s="6" t="s">
        <v>859</v>
      </c>
      <c r="K500" s="16"/>
      <c r="L500" s="6" t="s">
        <v>860</v>
      </c>
    </row>
    <row r="501" spans="3:14">
      <c r="C501" s="6" t="s">
        <v>1138</v>
      </c>
    </row>
    <row r="502" spans="3:14">
      <c r="C502" s="6" t="s">
        <v>1128</v>
      </c>
      <c r="I502" s="6" t="s">
        <v>859</v>
      </c>
      <c r="K502" s="22"/>
      <c r="L502" s="6" t="s">
        <v>1135</v>
      </c>
      <c r="N502" s="36">
        <v>1</v>
      </c>
    </row>
    <row r="503" spans="3:14">
      <c r="C503" s="6" t="s">
        <v>1130</v>
      </c>
      <c r="E503" s="6" t="s">
        <v>859</v>
      </c>
      <c r="F503" s="6" t="s">
        <v>1131</v>
      </c>
      <c r="I503" s="6" t="s">
        <v>859</v>
      </c>
      <c r="K503" s="22"/>
      <c r="L503" s="6" t="s">
        <v>1135</v>
      </c>
      <c r="N503" s="36">
        <v>2</v>
      </c>
    </row>
    <row r="504" spans="3:14">
      <c r="D504" s="6" t="s">
        <v>1132</v>
      </c>
      <c r="I504" s="6" t="s">
        <v>859</v>
      </c>
      <c r="K504" s="16"/>
      <c r="L504" s="6" t="s">
        <v>1135</v>
      </c>
    </row>
    <row r="505" spans="3:14">
      <c r="C505" s="6" t="s">
        <v>1139</v>
      </c>
    </row>
    <row r="506" spans="3:14">
      <c r="C506" s="6" t="s">
        <v>1128</v>
      </c>
      <c r="I506" s="6" t="s">
        <v>859</v>
      </c>
      <c r="K506" s="22"/>
      <c r="L506" s="6" t="s">
        <v>860</v>
      </c>
      <c r="N506" s="36">
        <v>1</v>
      </c>
    </row>
    <row r="507" spans="3:14">
      <c r="C507" s="6" t="s">
        <v>1130</v>
      </c>
      <c r="E507" s="6" t="s">
        <v>859</v>
      </c>
      <c r="F507" s="6" t="s">
        <v>1131</v>
      </c>
      <c r="I507" s="6" t="s">
        <v>859</v>
      </c>
      <c r="K507" s="22"/>
      <c r="L507" s="6" t="s">
        <v>860</v>
      </c>
      <c r="N507" s="36">
        <v>2</v>
      </c>
    </row>
    <row r="508" spans="3:14">
      <c r="D508" s="6" t="s">
        <v>1132</v>
      </c>
      <c r="I508" s="6" t="s">
        <v>859</v>
      </c>
      <c r="K508" s="16"/>
      <c r="L508" s="6" t="s">
        <v>860</v>
      </c>
    </row>
    <row r="509" spans="3:14">
      <c r="C509" s="6" t="s">
        <v>1140</v>
      </c>
    </row>
    <row r="510" spans="3:14">
      <c r="C510" s="6" t="s">
        <v>1128</v>
      </c>
      <c r="I510" s="6" t="s">
        <v>859</v>
      </c>
      <c r="K510" s="22"/>
      <c r="L510" s="6" t="s">
        <v>860</v>
      </c>
      <c r="N510" s="36">
        <v>1</v>
      </c>
    </row>
    <row r="511" spans="3:14">
      <c r="C511" s="6" t="s">
        <v>1130</v>
      </c>
      <c r="E511" s="6" t="s">
        <v>859</v>
      </c>
      <c r="F511" s="6" t="s">
        <v>1131</v>
      </c>
      <c r="I511" s="6" t="s">
        <v>859</v>
      </c>
      <c r="K511" s="22"/>
      <c r="L511" s="6" t="s">
        <v>860</v>
      </c>
      <c r="N511" s="36">
        <v>2</v>
      </c>
    </row>
    <row r="512" spans="3:14">
      <c r="D512" s="6" t="s">
        <v>1132</v>
      </c>
      <c r="I512" s="6" t="s">
        <v>859</v>
      </c>
      <c r="K512" s="16"/>
      <c r="L512" s="6" t="s">
        <v>860</v>
      </c>
    </row>
    <row r="513" spans="2:14">
      <c r="B513" s="48"/>
      <c r="C513" s="6" t="s">
        <v>1141</v>
      </c>
    </row>
    <row r="514" spans="2:14">
      <c r="C514" s="6" t="s">
        <v>1128</v>
      </c>
      <c r="I514" s="6" t="s">
        <v>859</v>
      </c>
      <c r="K514" s="22">
        <f>'[4]วัสดุ+ค่าขนส่ง'!I116</f>
        <v>60.091616000000002</v>
      </c>
      <c r="L514" s="6" t="s">
        <v>860</v>
      </c>
      <c r="N514" s="36">
        <v>1</v>
      </c>
    </row>
    <row r="515" spans="2:14">
      <c r="C515" s="6" t="s">
        <v>1130</v>
      </c>
      <c r="E515" s="6" t="s">
        <v>859</v>
      </c>
      <c r="F515" s="6" t="s">
        <v>1131</v>
      </c>
      <c r="I515" s="6" t="s">
        <v>859</v>
      </c>
      <c r="K515" s="22">
        <f>0.15*K514</f>
        <v>9.0137423999999999</v>
      </c>
      <c r="L515" s="6" t="s">
        <v>860</v>
      </c>
      <c r="N515" s="36">
        <v>2</v>
      </c>
    </row>
    <row r="516" spans="2:14">
      <c r="D516" s="6" t="s">
        <v>1132</v>
      </c>
      <c r="I516" s="6" t="s">
        <v>859</v>
      </c>
      <c r="K516" s="16">
        <f>SUM(K514:K515)</f>
        <v>69.1053584</v>
      </c>
      <c r="L516" s="6" t="s">
        <v>860</v>
      </c>
    </row>
    <row r="517" spans="2:14">
      <c r="B517" s="48"/>
      <c r="C517" s="6" t="s">
        <v>1142</v>
      </c>
    </row>
    <row r="518" spans="2:14">
      <c r="C518" s="6" t="s">
        <v>1128</v>
      </c>
      <c r="I518" s="6" t="s">
        <v>859</v>
      </c>
      <c r="K518" s="22"/>
      <c r="L518" s="6" t="s">
        <v>1135</v>
      </c>
      <c r="N518" s="36">
        <v>1</v>
      </c>
    </row>
    <row r="519" spans="2:14">
      <c r="C519" s="6" t="s">
        <v>1130</v>
      </c>
      <c r="E519" s="6" t="s">
        <v>859</v>
      </c>
      <c r="F519" s="6" t="s">
        <v>1131</v>
      </c>
      <c r="I519" s="6" t="s">
        <v>859</v>
      </c>
      <c r="K519" s="22"/>
      <c r="L519" s="6" t="s">
        <v>1135</v>
      </c>
      <c r="N519" s="36">
        <v>2</v>
      </c>
    </row>
    <row r="520" spans="2:14">
      <c r="D520" s="6" t="s">
        <v>1132</v>
      </c>
      <c r="I520" s="6" t="s">
        <v>859</v>
      </c>
      <c r="K520" s="16"/>
      <c r="L520" s="6" t="s">
        <v>1135</v>
      </c>
    </row>
    <row r="521" spans="2:14">
      <c r="B521" s="48"/>
      <c r="C521" s="6" t="s">
        <v>1143</v>
      </c>
    </row>
    <row r="522" spans="2:14">
      <c r="C522" s="6" t="s">
        <v>1128</v>
      </c>
      <c r="I522" s="6" t="s">
        <v>859</v>
      </c>
      <c r="K522" s="22"/>
      <c r="L522" s="6" t="s">
        <v>1144</v>
      </c>
      <c r="N522" s="36">
        <v>1</v>
      </c>
    </row>
    <row r="523" spans="2:14">
      <c r="C523" s="6" t="s">
        <v>1130</v>
      </c>
      <c r="E523" s="6" t="s">
        <v>859</v>
      </c>
      <c r="F523" s="6" t="s">
        <v>1131</v>
      </c>
      <c r="I523" s="6" t="s">
        <v>859</v>
      </c>
      <c r="K523" s="22"/>
      <c r="L523" s="6" t="s">
        <v>1144</v>
      </c>
      <c r="N523" s="36">
        <v>2</v>
      </c>
    </row>
    <row r="524" spans="2:14">
      <c r="D524" s="6" t="s">
        <v>1132</v>
      </c>
      <c r="I524" s="6" t="s">
        <v>859</v>
      </c>
      <c r="K524" s="16"/>
      <c r="L524" s="6" t="s">
        <v>1144</v>
      </c>
    </row>
    <row r="525" spans="2:14">
      <c r="B525" s="8">
        <v>16.3</v>
      </c>
      <c r="C525" s="8" t="s">
        <v>1145</v>
      </c>
    </row>
    <row r="526" spans="2:14">
      <c r="C526" s="6" t="s">
        <v>1146</v>
      </c>
    </row>
    <row r="527" spans="2:14">
      <c r="C527" s="6" t="s">
        <v>1128</v>
      </c>
      <c r="I527" s="6" t="s">
        <v>859</v>
      </c>
      <c r="K527" s="22"/>
      <c r="L527" s="6" t="s">
        <v>860</v>
      </c>
      <c r="N527" s="36">
        <v>1</v>
      </c>
    </row>
    <row r="528" spans="2:14">
      <c r="C528" s="6" t="s">
        <v>1130</v>
      </c>
      <c r="E528" s="6" t="s">
        <v>859</v>
      </c>
      <c r="F528" s="6" t="s">
        <v>1131</v>
      </c>
      <c r="I528" s="6" t="s">
        <v>859</v>
      </c>
      <c r="K528" s="22"/>
      <c r="L528" s="6" t="s">
        <v>860</v>
      </c>
      <c r="N528" s="36">
        <v>2</v>
      </c>
    </row>
    <row r="529" spans="2:14">
      <c r="D529" s="6" t="s">
        <v>1132</v>
      </c>
      <c r="I529" s="6" t="s">
        <v>859</v>
      </c>
      <c r="K529" s="16"/>
      <c r="L529" s="6" t="s">
        <v>860</v>
      </c>
    </row>
    <row r="530" spans="2:14">
      <c r="C530" s="6" t="s">
        <v>1147</v>
      </c>
    </row>
    <row r="531" spans="2:14">
      <c r="C531" s="6" t="s">
        <v>1128</v>
      </c>
      <c r="I531" s="6" t="s">
        <v>859</v>
      </c>
      <c r="K531" s="22"/>
      <c r="L531" s="6" t="s">
        <v>1135</v>
      </c>
      <c r="N531" s="36">
        <v>1</v>
      </c>
    </row>
    <row r="532" spans="2:14">
      <c r="C532" s="6" t="s">
        <v>1130</v>
      </c>
      <c r="E532" s="6" t="s">
        <v>859</v>
      </c>
      <c r="F532" s="6" t="s">
        <v>1131</v>
      </c>
      <c r="I532" s="6" t="s">
        <v>859</v>
      </c>
      <c r="K532" s="22"/>
      <c r="L532" s="6" t="s">
        <v>1135</v>
      </c>
      <c r="N532" s="36">
        <v>2</v>
      </c>
    </row>
    <row r="533" spans="2:14">
      <c r="D533" s="6" t="s">
        <v>1132</v>
      </c>
      <c r="I533" s="6" t="s">
        <v>859</v>
      </c>
      <c r="K533" s="16"/>
      <c r="L533" s="6" t="s">
        <v>1135</v>
      </c>
    </row>
    <row r="534" spans="2:14">
      <c r="C534" s="6" t="s">
        <v>1148</v>
      </c>
    </row>
    <row r="535" spans="2:14">
      <c r="C535" s="6" t="s">
        <v>1128</v>
      </c>
      <c r="I535" s="6" t="s">
        <v>859</v>
      </c>
      <c r="K535" s="22"/>
      <c r="L535" s="6" t="s">
        <v>860</v>
      </c>
      <c r="N535" s="36">
        <v>1</v>
      </c>
    </row>
    <row r="536" spans="2:14">
      <c r="C536" s="6" t="s">
        <v>1130</v>
      </c>
      <c r="E536" s="6" t="s">
        <v>859</v>
      </c>
      <c r="F536" s="6" t="s">
        <v>1131</v>
      </c>
      <c r="I536" s="6" t="s">
        <v>859</v>
      </c>
      <c r="K536" s="22"/>
      <c r="L536" s="6" t="s">
        <v>860</v>
      </c>
      <c r="N536" s="36">
        <v>2</v>
      </c>
    </row>
    <row r="537" spans="2:14">
      <c r="D537" s="6" t="s">
        <v>1132</v>
      </c>
      <c r="I537" s="6" t="s">
        <v>859</v>
      </c>
      <c r="K537" s="16"/>
      <c r="L537" s="6" t="s">
        <v>860</v>
      </c>
    </row>
    <row r="538" spans="2:14">
      <c r="C538" s="6" t="s">
        <v>1149</v>
      </c>
    </row>
    <row r="539" spans="2:14">
      <c r="C539" s="6" t="s">
        <v>1128</v>
      </c>
      <c r="I539" s="6" t="s">
        <v>859</v>
      </c>
      <c r="K539" s="22"/>
      <c r="L539" s="6" t="s">
        <v>1150</v>
      </c>
      <c r="N539" s="36">
        <v>1</v>
      </c>
    </row>
    <row r="540" spans="2:14">
      <c r="C540" s="6" t="s">
        <v>1130</v>
      </c>
      <c r="E540" s="6" t="s">
        <v>859</v>
      </c>
      <c r="F540" s="6" t="s">
        <v>1131</v>
      </c>
      <c r="I540" s="6" t="s">
        <v>859</v>
      </c>
      <c r="K540" s="22"/>
      <c r="L540" s="6" t="s">
        <v>1150</v>
      </c>
      <c r="N540" s="36">
        <v>2</v>
      </c>
    </row>
    <row r="541" spans="2:14">
      <c r="D541" s="6" t="s">
        <v>1132</v>
      </c>
      <c r="I541" s="6" t="s">
        <v>859</v>
      </c>
      <c r="K541" s="16"/>
      <c r="L541" s="6" t="s">
        <v>1150</v>
      </c>
    </row>
    <row r="542" spans="2:14">
      <c r="B542" s="8">
        <v>16.399999999999999</v>
      </c>
      <c r="C542" s="8" t="s">
        <v>1151</v>
      </c>
    </row>
    <row r="543" spans="2:14">
      <c r="C543" s="6" t="s">
        <v>1152</v>
      </c>
    </row>
    <row r="544" spans="2:14">
      <c r="C544" s="6" t="s">
        <v>1128</v>
      </c>
      <c r="I544" s="6" t="s">
        <v>859</v>
      </c>
      <c r="K544" s="22"/>
      <c r="L544" s="6" t="s">
        <v>1135</v>
      </c>
      <c r="N544" s="36">
        <v>1</v>
      </c>
    </row>
    <row r="545" spans="2:14">
      <c r="C545" s="6" t="s">
        <v>1130</v>
      </c>
      <c r="E545" s="6" t="s">
        <v>859</v>
      </c>
      <c r="F545" s="6" t="s">
        <v>1131</v>
      </c>
      <c r="I545" s="6" t="s">
        <v>859</v>
      </c>
      <c r="K545" s="22"/>
      <c r="L545" s="6" t="s">
        <v>1135</v>
      </c>
      <c r="N545" s="36">
        <v>2</v>
      </c>
    </row>
    <row r="546" spans="2:14">
      <c r="D546" s="6" t="s">
        <v>1132</v>
      </c>
      <c r="I546" s="6" t="s">
        <v>859</v>
      </c>
      <c r="K546" s="16"/>
      <c r="L546" s="6" t="s">
        <v>1135</v>
      </c>
    </row>
    <row r="547" spans="2:14">
      <c r="B547" s="8">
        <v>16.5</v>
      </c>
      <c r="C547" s="8" t="s">
        <v>1153</v>
      </c>
    </row>
    <row r="548" spans="2:14">
      <c r="C548" s="6" t="s">
        <v>1154</v>
      </c>
    </row>
    <row r="549" spans="2:14">
      <c r="C549" s="6" t="s">
        <v>1128</v>
      </c>
      <c r="I549" s="6" t="s">
        <v>859</v>
      </c>
      <c r="K549" s="22"/>
      <c r="L549" s="6" t="s">
        <v>860</v>
      </c>
      <c r="N549" s="36">
        <v>1</v>
      </c>
    </row>
    <row r="550" spans="2:14">
      <c r="C550" s="6" t="s">
        <v>1130</v>
      </c>
      <c r="E550" s="6" t="s">
        <v>859</v>
      </c>
      <c r="F550" s="6" t="s">
        <v>1131</v>
      </c>
      <c r="I550" s="6" t="s">
        <v>859</v>
      </c>
      <c r="K550" s="22"/>
      <c r="L550" s="6" t="s">
        <v>860</v>
      </c>
      <c r="N550" s="36">
        <v>2</v>
      </c>
    </row>
    <row r="551" spans="2:14">
      <c r="D551" s="6" t="s">
        <v>1132</v>
      </c>
      <c r="I551" s="6" t="s">
        <v>859</v>
      </c>
      <c r="K551" s="16"/>
      <c r="L551" s="6" t="s">
        <v>860</v>
      </c>
    </row>
    <row r="552" spans="2:14">
      <c r="C552" s="6" t="s">
        <v>1155</v>
      </c>
    </row>
    <row r="553" spans="2:14">
      <c r="C553" s="6" t="s">
        <v>1128</v>
      </c>
      <c r="I553" s="6" t="s">
        <v>859</v>
      </c>
      <c r="K553" s="22"/>
      <c r="L553" s="6" t="s">
        <v>860</v>
      </c>
      <c r="N553" s="36">
        <v>1</v>
      </c>
    </row>
    <row r="554" spans="2:14">
      <c r="C554" s="6" t="s">
        <v>1130</v>
      </c>
      <c r="E554" s="6" t="s">
        <v>859</v>
      </c>
      <c r="F554" s="6" t="s">
        <v>1131</v>
      </c>
      <c r="I554" s="6" t="s">
        <v>859</v>
      </c>
      <c r="K554" s="22"/>
      <c r="L554" s="6" t="s">
        <v>860</v>
      </c>
      <c r="N554" s="36">
        <v>2</v>
      </c>
    </row>
    <row r="555" spans="2:14">
      <c r="D555" s="6" t="s">
        <v>1132</v>
      </c>
      <c r="I555" s="6" t="s">
        <v>859</v>
      </c>
      <c r="K555" s="16"/>
      <c r="L555" s="6" t="s">
        <v>860</v>
      </c>
    </row>
    <row r="556" spans="2:14">
      <c r="C556" s="6" t="s">
        <v>1156</v>
      </c>
    </row>
    <row r="557" spans="2:14">
      <c r="C557" s="6" t="s">
        <v>1128</v>
      </c>
      <c r="I557" s="6" t="s">
        <v>859</v>
      </c>
      <c r="K557" s="22"/>
      <c r="L557" s="6" t="s">
        <v>860</v>
      </c>
      <c r="N557" s="36">
        <v>1</v>
      </c>
    </row>
    <row r="558" spans="2:14">
      <c r="C558" s="6" t="s">
        <v>1130</v>
      </c>
      <c r="E558" s="6" t="s">
        <v>859</v>
      </c>
      <c r="F558" s="6" t="s">
        <v>1131</v>
      </c>
      <c r="I558" s="6" t="s">
        <v>859</v>
      </c>
      <c r="K558" s="22"/>
      <c r="L558" s="6" t="s">
        <v>860</v>
      </c>
      <c r="N558" s="36">
        <v>2</v>
      </c>
    </row>
    <row r="559" spans="2:14">
      <c r="D559" s="6" t="s">
        <v>1132</v>
      </c>
      <c r="I559" s="6" t="s">
        <v>859</v>
      </c>
      <c r="K559" s="16"/>
      <c r="L559" s="6" t="s">
        <v>860</v>
      </c>
    </row>
    <row r="560" spans="2:14">
      <c r="C560" s="6" t="s">
        <v>1157</v>
      </c>
    </row>
    <row r="561" spans="2:16">
      <c r="C561" s="6" t="s">
        <v>1128</v>
      </c>
      <c r="I561" s="6" t="s">
        <v>859</v>
      </c>
      <c r="K561" s="22"/>
      <c r="L561" s="6" t="s">
        <v>860</v>
      </c>
      <c r="N561" s="36">
        <v>1</v>
      </c>
    </row>
    <row r="562" spans="2:16">
      <c r="C562" s="6" t="s">
        <v>1130</v>
      </c>
      <c r="E562" s="6" t="s">
        <v>859</v>
      </c>
      <c r="F562" s="6" t="s">
        <v>1131</v>
      </c>
      <c r="I562" s="6" t="s">
        <v>859</v>
      </c>
      <c r="K562" s="22"/>
      <c r="L562" s="6" t="s">
        <v>860</v>
      </c>
      <c r="N562" s="36">
        <v>2</v>
      </c>
    </row>
    <row r="563" spans="2:16">
      <c r="D563" s="6" t="s">
        <v>1132</v>
      </c>
      <c r="I563" s="6" t="s">
        <v>859</v>
      </c>
      <c r="K563" s="16"/>
      <c r="L563" s="6" t="s">
        <v>860</v>
      </c>
    </row>
    <row r="564" spans="2:16">
      <c r="C564" s="6" t="s">
        <v>1158</v>
      </c>
    </row>
    <row r="565" spans="2:16">
      <c r="C565" s="6" t="s">
        <v>1128</v>
      </c>
      <c r="I565" s="6" t="s">
        <v>859</v>
      </c>
      <c r="K565" s="22"/>
      <c r="L565" s="6" t="s">
        <v>860</v>
      </c>
      <c r="N565" s="36">
        <v>1</v>
      </c>
    </row>
    <row r="566" spans="2:16">
      <c r="C566" s="6" t="s">
        <v>1159</v>
      </c>
      <c r="I566" s="6" t="s">
        <v>859</v>
      </c>
      <c r="K566" s="22"/>
      <c r="L566" s="6" t="s">
        <v>1144</v>
      </c>
      <c r="N566" s="36">
        <v>2</v>
      </c>
      <c r="P566" s="6" t="s">
        <v>1160</v>
      </c>
    </row>
    <row r="567" spans="2:16">
      <c r="C567" s="6" t="s">
        <v>1130</v>
      </c>
      <c r="E567" s="6" t="s">
        <v>859</v>
      </c>
      <c r="F567" s="6" t="s">
        <v>1131</v>
      </c>
      <c r="I567" s="6" t="s">
        <v>859</v>
      </c>
      <c r="K567" s="22"/>
      <c r="L567" s="6" t="s">
        <v>860</v>
      </c>
      <c r="N567" s="36">
        <v>3</v>
      </c>
    </row>
    <row r="568" spans="2:16">
      <c r="D568" s="6" t="s">
        <v>1161</v>
      </c>
      <c r="I568" s="6" t="s">
        <v>859</v>
      </c>
      <c r="K568" s="16"/>
      <c r="L568" s="6" t="s">
        <v>860</v>
      </c>
    </row>
    <row r="569" spans="2:16">
      <c r="B569" s="8" t="s">
        <v>884</v>
      </c>
      <c r="C569" s="6" t="s">
        <v>1162</v>
      </c>
    </row>
    <row r="570" spans="2:16">
      <c r="C570" s="6" t="s">
        <v>1163</v>
      </c>
    </row>
    <row r="571" spans="2:16">
      <c r="C571" s="6" t="s">
        <v>1164</v>
      </c>
    </row>
    <row r="572" spans="2:16">
      <c r="C572" s="6" t="s">
        <v>1165</v>
      </c>
    </row>
    <row r="573" spans="2:16">
      <c r="C573" s="6" t="s">
        <v>1166</v>
      </c>
    </row>
    <row r="574" spans="2:16">
      <c r="C574" s="6" t="s">
        <v>1167</v>
      </c>
      <c r="F574" s="6" t="s">
        <v>1168</v>
      </c>
      <c r="H574" s="9" t="s">
        <v>1169</v>
      </c>
      <c r="I574" s="6" t="s">
        <v>859</v>
      </c>
      <c r="J574" s="6">
        <v>10</v>
      </c>
      <c r="K574" s="6" t="s">
        <v>1170</v>
      </c>
      <c r="P574" s="35"/>
    </row>
    <row r="575" spans="2:16">
      <c r="C575" s="6" t="s">
        <v>1171</v>
      </c>
      <c r="F575" s="6" t="s">
        <v>1172</v>
      </c>
      <c r="H575" s="9" t="s">
        <v>1169</v>
      </c>
      <c r="I575" s="6" t="s">
        <v>859</v>
      </c>
      <c r="J575" s="6">
        <v>400</v>
      </c>
      <c r="K575" s="6" t="s">
        <v>1170</v>
      </c>
      <c r="P575" s="35"/>
    </row>
    <row r="576" spans="2:16">
      <c r="C576" s="6" t="s">
        <v>34</v>
      </c>
      <c r="F576" s="6" t="s">
        <v>1172</v>
      </c>
      <c r="H576" s="9" t="s">
        <v>1169</v>
      </c>
      <c r="I576" s="6" t="s">
        <v>859</v>
      </c>
      <c r="J576" s="6">
        <f>ROUND((530/1.18/2.25),0)</f>
        <v>200</v>
      </c>
      <c r="K576" s="6" t="s">
        <v>1170</v>
      </c>
      <c r="L576" s="49" t="s">
        <v>1173</v>
      </c>
      <c r="P576" s="35"/>
    </row>
    <row r="577" spans="1:16">
      <c r="C577" s="6" t="s">
        <v>1174</v>
      </c>
      <c r="F577" s="6" t="s">
        <v>1175</v>
      </c>
      <c r="H577" s="9" t="s">
        <v>1169</v>
      </c>
      <c r="I577" s="6" t="s">
        <v>859</v>
      </c>
      <c r="J577" s="6">
        <v>45</v>
      </c>
      <c r="K577" s="6" t="s">
        <v>1170</v>
      </c>
      <c r="P577" s="35"/>
    </row>
    <row r="578" spans="1:16">
      <c r="C578" s="6" t="s">
        <v>1176</v>
      </c>
      <c r="F578" s="6" t="s">
        <v>1177</v>
      </c>
      <c r="H578" s="9" t="s">
        <v>1169</v>
      </c>
      <c r="I578" s="6" t="s">
        <v>859</v>
      </c>
      <c r="J578" s="6">
        <v>10</v>
      </c>
      <c r="K578" s="6" t="s">
        <v>1170</v>
      </c>
      <c r="L578" s="6" t="s">
        <v>1178</v>
      </c>
      <c r="O578" s="6">
        <f>1.18*2.25</f>
        <v>2.6549999999999998</v>
      </c>
      <c r="P578" s="35"/>
    </row>
    <row r="579" spans="1:16">
      <c r="B579" s="6" t="s">
        <v>1179</v>
      </c>
    </row>
    <row r="580" spans="1:16">
      <c r="C580" s="6" t="s">
        <v>1180</v>
      </c>
      <c r="O580" s="6">
        <f>530/O578</f>
        <v>199.62335216572507</v>
      </c>
    </row>
    <row r="581" spans="1:16">
      <c r="C581" s="6" t="s">
        <v>1181</v>
      </c>
      <c r="F581" s="6" t="s">
        <v>1172</v>
      </c>
      <c r="H581" s="9" t="s">
        <v>1169</v>
      </c>
      <c r="I581" s="6" t="s">
        <v>859</v>
      </c>
      <c r="J581" s="35">
        <f>ROUND(480/(1.2*2.1),0)</f>
        <v>190</v>
      </c>
      <c r="K581" s="6" t="s">
        <v>1170</v>
      </c>
    </row>
    <row r="582" spans="1:16">
      <c r="C582" s="6" t="s">
        <v>1182</v>
      </c>
      <c r="F582" s="6" t="s">
        <v>1172</v>
      </c>
      <c r="H582" s="9" t="s">
        <v>1169</v>
      </c>
      <c r="I582" s="6" t="s">
        <v>859</v>
      </c>
      <c r="J582" s="35">
        <f>ROUND(900/(1.2*2.1),0)</f>
        <v>357</v>
      </c>
      <c r="K582" s="6" t="s">
        <v>1170</v>
      </c>
    </row>
    <row r="583" spans="1:16">
      <c r="C583" s="6" t="s">
        <v>1183</v>
      </c>
      <c r="F583" s="6" t="s">
        <v>1172</v>
      </c>
      <c r="H583" s="9" t="s">
        <v>1169</v>
      </c>
      <c r="I583" s="6" t="s">
        <v>859</v>
      </c>
      <c r="J583" s="35">
        <f>ROUND(1090/(1.2*2.1),0)</f>
        <v>433</v>
      </c>
      <c r="K583" s="6" t="s">
        <v>1170</v>
      </c>
    </row>
    <row r="584" spans="1:16">
      <c r="C584" s="6" t="s">
        <v>1174</v>
      </c>
      <c r="F584" s="6" t="s">
        <v>1175</v>
      </c>
      <c r="H584" s="9" t="s">
        <v>1169</v>
      </c>
      <c r="I584" s="6" t="s">
        <v>859</v>
      </c>
      <c r="J584" s="35">
        <f>ROUND(630/12,0)</f>
        <v>53</v>
      </c>
      <c r="K584" s="6" t="s">
        <v>1170</v>
      </c>
    </row>
    <row r="585" spans="1:16">
      <c r="C585" s="6" t="s">
        <v>1184</v>
      </c>
      <c r="F585" s="6" t="s">
        <v>1175</v>
      </c>
      <c r="H585" s="9" t="s">
        <v>1169</v>
      </c>
      <c r="I585" s="6" t="s">
        <v>859</v>
      </c>
      <c r="J585" s="35">
        <f>ROUND(1736/2.5,0)</f>
        <v>694</v>
      </c>
      <c r="K585" s="6" t="s">
        <v>1170</v>
      </c>
    </row>
    <row r="586" spans="1:16">
      <c r="C586" s="6" t="s">
        <v>1185</v>
      </c>
      <c r="F586" s="6" t="s">
        <v>1177</v>
      </c>
      <c r="H586" s="9" t="s">
        <v>1169</v>
      </c>
      <c r="I586" s="6" t="s">
        <v>859</v>
      </c>
      <c r="J586" s="35">
        <f>ROUND(300/100,0)</f>
        <v>3</v>
      </c>
      <c r="K586" s="6" t="s">
        <v>964</v>
      </c>
      <c r="L586" s="6" t="s">
        <v>1186</v>
      </c>
    </row>
    <row r="587" spans="1:16">
      <c r="C587" s="6" t="s">
        <v>1187</v>
      </c>
      <c r="F587" s="6" t="s">
        <v>1177</v>
      </c>
      <c r="H587" s="9" t="s">
        <v>1169</v>
      </c>
      <c r="I587" s="6" t="s">
        <v>859</v>
      </c>
      <c r="J587" s="35">
        <f>ROUND(1125/100,0)</f>
        <v>11</v>
      </c>
      <c r="K587" s="6" t="s">
        <v>964</v>
      </c>
      <c r="L587" s="6" t="s">
        <v>1188</v>
      </c>
    </row>
    <row r="588" spans="1:16">
      <c r="A588" s="8">
        <v>17</v>
      </c>
      <c r="B588" s="8" t="s">
        <v>1189</v>
      </c>
    </row>
    <row r="589" spans="1:16">
      <c r="B589" s="9">
        <v>17.100000000000001</v>
      </c>
      <c r="C589" s="6" t="s">
        <v>1190</v>
      </c>
    </row>
    <row r="590" spans="1:16">
      <c r="B590" s="9"/>
      <c r="C590" s="6" t="s">
        <v>1191</v>
      </c>
      <c r="I590" s="6" t="s">
        <v>859</v>
      </c>
      <c r="L590" s="6" t="s">
        <v>1150</v>
      </c>
    </row>
    <row r="591" spans="1:16">
      <c r="B591" s="9"/>
      <c r="C591" s="6" t="s">
        <v>1192</v>
      </c>
      <c r="I591" s="6" t="s">
        <v>859</v>
      </c>
      <c r="L591" s="6" t="s">
        <v>1150</v>
      </c>
    </row>
    <row r="592" spans="1:16">
      <c r="B592" s="9"/>
      <c r="D592" s="6" t="s">
        <v>1132</v>
      </c>
      <c r="I592" s="6" t="s">
        <v>859</v>
      </c>
      <c r="L592" s="6" t="s">
        <v>1150</v>
      </c>
    </row>
    <row r="593" spans="1:14">
      <c r="B593" s="9">
        <v>17.2</v>
      </c>
      <c r="C593" s="6" t="s">
        <v>1193</v>
      </c>
    </row>
    <row r="594" spans="1:14">
      <c r="B594" s="9"/>
      <c r="C594" s="6" t="s">
        <v>1194</v>
      </c>
    </row>
    <row r="595" spans="1:14">
      <c r="B595" s="9"/>
      <c r="C595" s="6" t="s">
        <v>1192</v>
      </c>
      <c r="I595" s="6" t="s">
        <v>859</v>
      </c>
      <c r="L595" s="6" t="s">
        <v>1150</v>
      </c>
    </row>
    <row r="596" spans="1:14">
      <c r="B596" s="9"/>
      <c r="D596" s="6" t="s">
        <v>1132</v>
      </c>
      <c r="I596" s="6" t="s">
        <v>859</v>
      </c>
      <c r="L596" s="6" t="s">
        <v>1150</v>
      </c>
    </row>
    <row r="597" spans="1:14">
      <c r="B597" s="9">
        <v>17.3</v>
      </c>
      <c r="C597" s="6" t="s">
        <v>1195</v>
      </c>
    </row>
    <row r="598" spans="1:14">
      <c r="C598" s="6" t="s">
        <v>1196</v>
      </c>
      <c r="I598" s="6" t="s">
        <v>859</v>
      </c>
      <c r="J598" s="11">
        <f>[4]คำนวณงานต่อหน่วย!J44</f>
        <v>171.52571600000002</v>
      </c>
      <c r="L598" s="6" t="s">
        <v>1150</v>
      </c>
    </row>
    <row r="599" spans="1:14">
      <c r="C599" s="6" t="s">
        <v>1192</v>
      </c>
      <c r="I599" s="6" t="s">
        <v>859</v>
      </c>
      <c r="J599" s="11">
        <f>J598*0.15</f>
        <v>25.728857400000003</v>
      </c>
      <c r="L599" s="6" t="s">
        <v>1150</v>
      </c>
    </row>
    <row r="600" spans="1:14">
      <c r="D600" s="6" t="s">
        <v>1132</v>
      </c>
      <c r="I600" s="6" t="s">
        <v>859</v>
      </c>
      <c r="J600" s="11">
        <f>J598+J599</f>
        <v>197.25457340000003</v>
      </c>
      <c r="L600" s="6" t="s">
        <v>1150</v>
      </c>
    </row>
    <row r="601" spans="1:14">
      <c r="B601" s="8" t="s">
        <v>884</v>
      </c>
      <c r="C601" s="6" t="s">
        <v>1197</v>
      </c>
    </row>
    <row r="602" spans="1:14">
      <c r="C602" s="6" t="s">
        <v>1198</v>
      </c>
    </row>
    <row r="603" spans="1:14">
      <c r="A603" s="8">
        <v>18</v>
      </c>
      <c r="B603" s="8" t="s">
        <v>1199</v>
      </c>
    </row>
    <row r="604" spans="1:14">
      <c r="B604" s="6" t="s">
        <v>1200</v>
      </c>
    </row>
    <row r="605" spans="1:14">
      <c r="B605" s="9">
        <v>18.100000000000001</v>
      </c>
      <c r="C605" s="6" t="s">
        <v>1201</v>
      </c>
    </row>
    <row r="606" spans="1:14">
      <c r="B606" s="9" t="s">
        <v>1202</v>
      </c>
      <c r="C606" s="6" t="s">
        <v>1203</v>
      </c>
    </row>
    <row r="607" spans="1:14">
      <c r="B607" s="9"/>
      <c r="C607" s="6" t="s">
        <v>1204</v>
      </c>
      <c r="K607" s="50">
        <v>8</v>
      </c>
      <c r="L607" s="6" t="s">
        <v>43</v>
      </c>
    </row>
    <row r="608" spans="1:14">
      <c r="C608" s="6" t="s">
        <v>1205</v>
      </c>
      <c r="I608" s="6" t="s">
        <v>859</v>
      </c>
      <c r="K608" s="22">
        <f>'[4]วัสดุ+ค่าขนส่ง'!I18</f>
        <v>1864.0251232000001</v>
      </c>
      <c r="L608" s="6" t="s">
        <v>1206</v>
      </c>
      <c r="N608" s="36">
        <v>1</v>
      </c>
    </row>
    <row r="609" spans="2:17">
      <c r="C609" s="6" t="s">
        <v>1207</v>
      </c>
      <c r="I609" s="6" t="s">
        <v>859</v>
      </c>
      <c r="K609" s="22">
        <f>Q609/9*K607</f>
        <v>487.11111111111109</v>
      </c>
      <c r="L609" s="6" t="s">
        <v>1206</v>
      </c>
      <c r="N609" s="36">
        <v>2</v>
      </c>
      <c r="P609" s="6" t="s">
        <v>1208</v>
      </c>
      <c r="Q609" s="51">
        <f>[4]บัญชีค่าแรงงาน!$D$26</f>
        <v>548</v>
      </c>
    </row>
    <row r="610" spans="2:17">
      <c r="C610" s="6" t="s">
        <v>1209</v>
      </c>
      <c r="I610" s="6" t="s">
        <v>859</v>
      </c>
      <c r="K610" s="22">
        <f>Q610</f>
        <v>180</v>
      </c>
      <c r="L610" s="6" t="s">
        <v>1206</v>
      </c>
      <c r="N610" s="36">
        <v>3</v>
      </c>
      <c r="P610" s="6" t="s">
        <v>1210</v>
      </c>
      <c r="Q610" s="51">
        <f>[4]บัญชีค่าแรงงาน!$D$83</f>
        <v>180</v>
      </c>
    </row>
    <row r="611" spans="2:17">
      <c r="D611" s="6" t="s">
        <v>1211</v>
      </c>
      <c r="I611" s="6" t="s">
        <v>859</v>
      </c>
      <c r="K611" s="18">
        <f>+ROUNDDOWN((K608+K609+K610)/K607,2)</f>
        <v>316.39</v>
      </c>
      <c r="L611" s="6" t="s">
        <v>1077</v>
      </c>
    </row>
    <row r="612" spans="2:17">
      <c r="D612" s="6" t="s">
        <v>1212</v>
      </c>
      <c r="I612" s="6" t="s">
        <v>859</v>
      </c>
      <c r="K612" s="18">
        <f>+ROUNDDOWN((K608+K609+K610),2)</f>
        <v>2531.13</v>
      </c>
      <c r="L612" s="6" t="s">
        <v>1206</v>
      </c>
    </row>
    <row r="613" spans="2:17">
      <c r="B613" s="9"/>
      <c r="C613" s="6" t="s">
        <v>1204</v>
      </c>
      <c r="K613" s="50">
        <v>10</v>
      </c>
      <c r="L613" s="6" t="s">
        <v>43</v>
      </c>
    </row>
    <row r="614" spans="2:17">
      <c r="C614" s="6" t="s">
        <v>1205</v>
      </c>
      <c r="I614" s="6" t="s">
        <v>859</v>
      </c>
      <c r="K614" s="22">
        <f>'[4]วัสดุ+ค่าขนส่ง'!I19</f>
        <v>2330.0239040000001</v>
      </c>
      <c r="L614" s="6" t="s">
        <v>1206</v>
      </c>
      <c r="N614" s="36">
        <v>1</v>
      </c>
    </row>
    <row r="615" spans="2:17">
      <c r="C615" s="6" t="s">
        <v>1207</v>
      </c>
      <c r="I615" s="6" t="s">
        <v>859</v>
      </c>
      <c r="K615" s="22">
        <f>Q615/9*K613</f>
        <v>608.88888888888891</v>
      </c>
      <c r="L615" s="6" t="s">
        <v>1206</v>
      </c>
      <c r="N615" s="36">
        <v>2</v>
      </c>
      <c r="P615" s="6" t="s">
        <v>1208</v>
      </c>
      <c r="Q615" s="51">
        <f>[4]บัญชีค่าแรงงาน!$D$26</f>
        <v>548</v>
      </c>
    </row>
    <row r="616" spans="2:17">
      <c r="C616" s="6" t="s">
        <v>1209</v>
      </c>
      <c r="I616" s="6" t="s">
        <v>859</v>
      </c>
      <c r="K616" s="22">
        <f>Q616</f>
        <v>180</v>
      </c>
      <c r="L616" s="6" t="s">
        <v>1206</v>
      </c>
      <c r="N616" s="36">
        <v>3</v>
      </c>
      <c r="P616" s="6" t="s">
        <v>1210</v>
      </c>
      <c r="Q616" s="51">
        <f>[4]บัญชีค่าแรงงาน!$D$83</f>
        <v>180</v>
      </c>
    </row>
    <row r="617" spans="2:17">
      <c r="D617" s="6" t="s">
        <v>1211</v>
      </c>
      <c r="I617" s="6" t="s">
        <v>859</v>
      </c>
      <c r="K617" s="18">
        <f>+ROUNDDOWN((K614+K615+K616)/K613,2)</f>
        <v>311.89</v>
      </c>
      <c r="L617" s="6" t="s">
        <v>1077</v>
      </c>
    </row>
    <row r="618" spans="2:17">
      <c r="D618" s="6" t="s">
        <v>1212</v>
      </c>
      <c r="I618" s="6" t="s">
        <v>859</v>
      </c>
      <c r="K618" s="18">
        <f>+ROUNDDOWN((K614+K615+K616),2)</f>
        <v>3118.91</v>
      </c>
      <c r="L618" s="6" t="s">
        <v>1206</v>
      </c>
    </row>
    <row r="619" spans="2:17">
      <c r="B619" s="9"/>
      <c r="C619" s="6" t="s">
        <v>1204</v>
      </c>
      <c r="K619" s="50">
        <v>12</v>
      </c>
      <c r="L619" s="6" t="s">
        <v>43</v>
      </c>
    </row>
    <row r="620" spans="2:17">
      <c r="C620" s="6" t="s">
        <v>1205</v>
      </c>
      <c r="I620" s="6" t="s">
        <v>859</v>
      </c>
      <c r="K620" s="22">
        <f>'[4]วัสดุ+ค่าขนส่ง'!I22</f>
        <v>4944.5068959999999</v>
      </c>
      <c r="L620" s="6" t="s">
        <v>1206</v>
      </c>
      <c r="N620" s="36">
        <v>1</v>
      </c>
    </row>
    <row r="621" spans="2:17">
      <c r="C621" s="6" t="s">
        <v>1207</v>
      </c>
      <c r="I621" s="6" t="s">
        <v>859</v>
      </c>
      <c r="K621" s="22">
        <f>Q621/9*K619</f>
        <v>730.66666666666663</v>
      </c>
      <c r="L621" s="6" t="s">
        <v>1206</v>
      </c>
      <c r="N621" s="36">
        <v>2</v>
      </c>
      <c r="P621" s="6" t="s">
        <v>1208</v>
      </c>
      <c r="Q621" s="51">
        <f>[4]บัญชีค่าแรงงาน!$D$26</f>
        <v>548</v>
      </c>
    </row>
    <row r="622" spans="2:17">
      <c r="C622" s="6" t="s">
        <v>1209</v>
      </c>
      <c r="I622" s="6" t="s">
        <v>859</v>
      </c>
      <c r="K622" s="22">
        <f>Q622</f>
        <v>180</v>
      </c>
      <c r="L622" s="6" t="s">
        <v>1206</v>
      </c>
      <c r="N622" s="36">
        <v>3</v>
      </c>
      <c r="P622" s="6" t="s">
        <v>1210</v>
      </c>
      <c r="Q622" s="51">
        <f>[4]บัญชีค่าแรงงาน!$D$83</f>
        <v>180</v>
      </c>
    </row>
    <row r="623" spans="2:17">
      <c r="D623" s="6" t="s">
        <v>1211</v>
      </c>
      <c r="I623" s="6" t="s">
        <v>859</v>
      </c>
      <c r="K623" s="18">
        <f>+ROUNDDOWN((K620+K621+K622)/K619,2)</f>
        <v>487.93</v>
      </c>
      <c r="L623" s="6" t="s">
        <v>1077</v>
      </c>
    </row>
    <row r="624" spans="2:17">
      <c r="D624" s="6" t="s">
        <v>1212</v>
      </c>
      <c r="I624" s="6" t="s">
        <v>859</v>
      </c>
      <c r="K624" s="18">
        <f>+ROUNDDOWN((K620+K621+K622),2)</f>
        <v>5855.17</v>
      </c>
      <c r="L624" s="6" t="s">
        <v>1206</v>
      </c>
    </row>
    <row r="625" spans="2:18">
      <c r="B625" s="9"/>
      <c r="C625" s="6" t="s">
        <v>1213</v>
      </c>
      <c r="K625" s="50">
        <v>10</v>
      </c>
      <c r="L625" s="6" t="s">
        <v>43</v>
      </c>
    </row>
    <row r="626" spans="2:18">
      <c r="C626" s="6" t="s">
        <v>1205</v>
      </c>
      <c r="I626" s="6" t="s">
        <v>859</v>
      </c>
      <c r="K626" s="22">
        <f>'[4]วัสดุ+ค่าขนส่ง'!I20</f>
        <v>3296.3412640000001</v>
      </c>
      <c r="L626" s="6" t="s">
        <v>1206</v>
      </c>
      <c r="N626" s="36">
        <v>1</v>
      </c>
    </row>
    <row r="627" spans="2:18">
      <c r="C627" s="6" t="s">
        <v>1207</v>
      </c>
      <c r="I627" s="6" t="s">
        <v>859</v>
      </c>
      <c r="K627" s="22">
        <f>Q627/15*K625</f>
        <v>452</v>
      </c>
      <c r="L627" s="6" t="s">
        <v>1206</v>
      </c>
      <c r="N627" s="36">
        <v>2</v>
      </c>
      <c r="P627" s="6" t="s">
        <v>1208</v>
      </c>
      <c r="Q627" s="51">
        <f>[4]บัญชีค่าแรงงาน!$D$27</f>
        <v>678</v>
      </c>
      <c r="R627" s="6" t="s">
        <v>1214</v>
      </c>
    </row>
    <row r="628" spans="2:18">
      <c r="C628" s="6" t="s">
        <v>1209</v>
      </c>
      <c r="I628" s="6" t="s">
        <v>859</v>
      </c>
      <c r="K628" s="22">
        <f>Q628</f>
        <v>200</v>
      </c>
      <c r="L628" s="6" t="s">
        <v>1206</v>
      </c>
      <c r="N628" s="36">
        <v>3</v>
      </c>
      <c r="P628" s="6" t="s">
        <v>1210</v>
      </c>
      <c r="Q628" s="51">
        <f>[4]บัญชีค่าแรงงาน!$D$84</f>
        <v>200</v>
      </c>
      <c r="R628" s="6" t="s">
        <v>1214</v>
      </c>
    </row>
    <row r="629" spans="2:18">
      <c r="D629" s="6" t="s">
        <v>1211</v>
      </c>
      <c r="I629" s="6" t="s">
        <v>859</v>
      </c>
      <c r="K629" s="18">
        <f>+ROUNDDOWN((K626+K627+K628)/K625,2)</f>
        <v>394.83</v>
      </c>
      <c r="L629" s="6" t="s">
        <v>1077</v>
      </c>
    </row>
    <row r="630" spans="2:18">
      <c r="D630" s="6" t="s">
        <v>1212</v>
      </c>
      <c r="I630" s="6" t="s">
        <v>859</v>
      </c>
      <c r="K630" s="18">
        <f>+ROUNDDOWN((K626+K627+K628),2)</f>
        <v>3948.34</v>
      </c>
      <c r="L630" s="6" t="s">
        <v>1206</v>
      </c>
    </row>
    <row r="631" spans="2:18">
      <c r="B631" s="9"/>
      <c r="C631" s="6" t="s">
        <v>1213</v>
      </c>
      <c r="K631" s="50">
        <v>12</v>
      </c>
      <c r="L631" s="6" t="s">
        <v>43</v>
      </c>
    </row>
    <row r="632" spans="2:18">
      <c r="C632" s="6" t="s">
        <v>1205</v>
      </c>
      <c r="I632" s="6" t="s">
        <v>859</v>
      </c>
      <c r="K632" s="22">
        <v>0</v>
      </c>
      <c r="L632" s="6" t="s">
        <v>1206</v>
      </c>
      <c r="N632" s="36">
        <v>1</v>
      </c>
    </row>
    <row r="633" spans="2:18">
      <c r="C633" s="6" t="s">
        <v>1207</v>
      </c>
      <c r="I633" s="6" t="s">
        <v>859</v>
      </c>
      <c r="K633" s="22">
        <f>Q633/15*K631</f>
        <v>542.40000000000009</v>
      </c>
      <c r="L633" s="6" t="s">
        <v>1206</v>
      </c>
      <c r="N633" s="36">
        <v>2</v>
      </c>
      <c r="P633" s="6" t="s">
        <v>1208</v>
      </c>
      <c r="Q633" s="51">
        <f>[4]บัญชีค่าแรงงาน!$D$27</f>
        <v>678</v>
      </c>
      <c r="R633" s="6" t="s">
        <v>1214</v>
      </c>
    </row>
    <row r="634" spans="2:18">
      <c r="C634" s="6" t="s">
        <v>1209</v>
      </c>
      <c r="I634" s="6" t="s">
        <v>859</v>
      </c>
      <c r="K634" s="22">
        <f>Q634</f>
        <v>200</v>
      </c>
      <c r="L634" s="6" t="s">
        <v>1206</v>
      </c>
      <c r="N634" s="36">
        <v>3</v>
      </c>
      <c r="P634" s="6" t="s">
        <v>1210</v>
      </c>
      <c r="Q634" s="51">
        <f>[4]บัญชีค่าแรงงาน!$D$84</f>
        <v>200</v>
      </c>
      <c r="R634" s="6" t="s">
        <v>1214</v>
      </c>
    </row>
    <row r="635" spans="2:18">
      <c r="D635" s="6" t="s">
        <v>1211</v>
      </c>
      <c r="I635" s="6" t="s">
        <v>859</v>
      </c>
      <c r="K635" s="18">
        <f>+ROUNDDOWN((K632+K633+K634)/K631,2)</f>
        <v>61.86</v>
      </c>
      <c r="L635" s="6" t="s">
        <v>1077</v>
      </c>
    </row>
    <row r="636" spans="2:18">
      <c r="D636" s="6" t="s">
        <v>1212</v>
      </c>
      <c r="I636" s="6" t="s">
        <v>859</v>
      </c>
      <c r="K636" s="18">
        <f>+ROUNDDOWN((K632+K633+K634),2)</f>
        <v>742.4</v>
      </c>
      <c r="L636" s="6" t="s">
        <v>1206</v>
      </c>
    </row>
    <row r="637" spans="2:18">
      <c r="B637" s="9"/>
      <c r="C637" s="6" t="s">
        <v>1215</v>
      </c>
      <c r="K637" s="50">
        <v>8</v>
      </c>
      <c r="L637" s="6" t="s">
        <v>43</v>
      </c>
    </row>
    <row r="638" spans="2:18">
      <c r="C638" s="6" t="s">
        <v>1205</v>
      </c>
      <c r="I638" s="6" t="s">
        <v>859</v>
      </c>
      <c r="K638" s="22">
        <f>'[4]วัสดุ+ค่าขนส่ง'!I21</f>
        <v>2796.0326848</v>
      </c>
      <c r="L638" s="6" t="s">
        <v>1206</v>
      </c>
      <c r="N638" s="36">
        <v>1</v>
      </c>
    </row>
    <row r="639" spans="2:18">
      <c r="C639" s="6" t="s">
        <v>1207</v>
      </c>
      <c r="I639" s="6" t="s">
        <v>859</v>
      </c>
      <c r="K639" s="22">
        <f>Q639/15*K637</f>
        <v>361.6</v>
      </c>
      <c r="L639" s="6" t="s">
        <v>1206</v>
      </c>
      <c r="N639" s="36">
        <v>2</v>
      </c>
      <c r="P639" s="6" t="s">
        <v>1208</v>
      </c>
      <c r="Q639" s="51">
        <f>[4]บัญชีค่าแรงงาน!$D$27</f>
        <v>678</v>
      </c>
    </row>
    <row r="640" spans="2:18">
      <c r="C640" s="6" t="s">
        <v>1209</v>
      </c>
      <c r="I640" s="6" t="s">
        <v>859</v>
      </c>
      <c r="K640" s="22">
        <f>Q640</f>
        <v>200</v>
      </c>
      <c r="L640" s="6" t="s">
        <v>1206</v>
      </c>
      <c r="N640" s="36">
        <v>3</v>
      </c>
      <c r="P640" s="6" t="s">
        <v>1210</v>
      </c>
      <c r="Q640" s="51">
        <f>[4]บัญชีค่าแรงงาน!$D$84</f>
        <v>200</v>
      </c>
    </row>
    <row r="641" spans="2:17">
      <c r="D641" s="6" t="s">
        <v>1211</v>
      </c>
      <c r="I641" s="6" t="s">
        <v>859</v>
      </c>
      <c r="K641" s="18">
        <f>+ROUNDDOWN((K638+K639+K640)/K637,2)</f>
        <v>419.7</v>
      </c>
      <c r="L641" s="6" t="s">
        <v>1077</v>
      </c>
    </row>
    <row r="642" spans="2:17">
      <c r="D642" s="6" t="s">
        <v>1212</v>
      </c>
      <c r="I642" s="6" t="s">
        <v>859</v>
      </c>
      <c r="K642" s="18">
        <f>+ROUNDDOWN((K638+K639+K640),2)</f>
        <v>3357.63</v>
      </c>
      <c r="L642" s="6" t="s">
        <v>1206</v>
      </c>
    </row>
    <row r="643" spans="2:17">
      <c r="B643" s="9"/>
      <c r="C643" s="6" t="s">
        <v>1215</v>
      </c>
      <c r="K643" s="50">
        <v>10</v>
      </c>
      <c r="L643" s="6" t="s">
        <v>43</v>
      </c>
    </row>
    <row r="644" spans="2:17">
      <c r="C644" s="6" t="s">
        <v>1205</v>
      </c>
      <c r="I644" s="6" t="s">
        <v>859</v>
      </c>
      <c r="K644" s="22">
        <f>'[4]วัสดุ+ค่าขนส่ง'!I23</f>
        <v>3728.0402463999999</v>
      </c>
      <c r="L644" s="6" t="s">
        <v>1206</v>
      </c>
      <c r="N644" s="36">
        <v>1</v>
      </c>
    </row>
    <row r="645" spans="2:17">
      <c r="C645" s="6" t="s">
        <v>1207</v>
      </c>
      <c r="I645" s="6" t="s">
        <v>859</v>
      </c>
      <c r="K645" s="22">
        <f>Q645/15*K643</f>
        <v>452</v>
      </c>
      <c r="L645" s="6" t="s">
        <v>1206</v>
      </c>
      <c r="N645" s="36">
        <v>2</v>
      </c>
      <c r="P645" s="6" t="s">
        <v>1208</v>
      </c>
      <c r="Q645" s="51">
        <f>[4]บัญชีค่าแรงงาน!$D$27</f>
        <v>678</v>
      </c>
    </row>
    <row r="646" spans="2:17">
      <c r="C646" s="6" t="s">
        <v>1209</v>
      </c>
      <c r="I646" s="6" t="s">
        <v>859</v>
      </c>
      <c r="K646" s="22">
        <f>Q646</f>
        <v>200</v>
      </c>
      <c r="L646" s="6" t="s">
        <v>1206</v>
      </c>
      <c r="N646" s="36">
        <v>3</v>
      </c>
      <c r="P646" s="6" t="s">
        <v>1210</v>
      </c>
      <c r="Q646" s="51">
        <f>[4]บัญชีค่าแรงงาน!$D$84</f>
        <v>200</v>
      </c>
    </row>
    <row r="647" spans="2:17">
      <c r="D647" s="6" t="s">
        <v>1211</v>
      </c>
      <c r="I647" s="6" t="s">
        <v>859</v>
      </c>
      <c r="K647" s="18">
        <f>+ROUNDDOWN((K644+K645+K646)/K643,2)</f>
        <v>438</v>
      </c>
      <c r="L647" s="6" t="s">
        <v>1077</v>
      </c>
    </row>
    <row r="648" spans="2:17">
      <c r="D648" s="6" t="s">
        <v>1212</v>
      </c>
      <c r="I648" s="6" t="s">
        <v>859</v>
      </c>
      <c r="K648" s="18">
        <f>+ROUNDDOWN((K644+K645+K646),2)</f>
        <v>4380.04</v>
      </c>
      <c r="L648" s="6" t="s">
        <v>1206</v>
      </c>
    </row>
    <row r="649" spans="2:17">
      <c r="B649" s="9"/>
      <c r="C649" s="6" t="s">
        <v>1215</v>
      </c>
      <c r="K649" s="50">
        <v>12</v>
      </c>
      <c r="L649" s="6" t="s">
        <v>43</v>
      </c>
    </row>
    <row r="650" spans="2:17">
      <c r="C650" s="6" t="s">
        <v>1205</v>
      </c>
      <c r="I650" s="6" t="s">
        <v>859</v>
      </c>
      <c r="K650" s="22">
        <f>'[4]วัสดุ+ค่าขนส่ง'!I24</f>
        <v>7202.6836543999998</v>
      </c>
      <c r="L650" s="6" t="s">
        <v>1206</v>
      </c>
      <c r="N650" s="36">
        <v>1</v>
      </c>
    </row>
    <row r="651" spans="2:17">
      <c r="C651" s="6" t="s">
        <v>1207</v>
      </c>
      <c r="I651" s="6" t="s">
        <v>859</v>
      </c>
      <c r="K651" s="22">
        <f>Q651/15*K649</f>
        <v>542.40000000000009</v>
      </c>
      <c r="L651" s="6" t="s">
        <v>1206</v>
      </c>
      <c r="N651" s="36">
        <v>2</v>
      </c>
      <c r="P651" s="6" t="s">
        <v>1208</v>
      </c>
      <c r="Q651" s="51">
        <f>[4]บัญชีค่าแรงงาน!$D$27</f>
        <v>678</v>
      </c>
    </row>
    <row r="652" spans="2:17">
      <c r="C652" s="6" t="s">
        <v>1209</v>
      </c>
      <c r="I652" s="6" t="s">
        <v>859</v>
      </c>
      <c r="K652" s="22">
        <f>Q652</f>
        <v>200</v>
      </c>
      <c r="L652" s="6" t="s">
        <v>1206</v>
      </c>
      <c r="N652" s="36">
        <v>3</v>
      </c>
      <c r="P652" s="6" t="s">
        <v>1210</v>
      </c>
      <c r="Q652" s="51">
        <f>[4]บัญชีค่าแรงงาน!$D$84</f>
        <v>200</v>
      </c>
    </row>
    <row r="653" spans="2:17">
      <c r="D653" s="6" t="s">
        <v>1211</v>
      </c>
      <c r="I653" s="6" t="s">
        <v>859</v>
      </c>
      <c r="K653" s="18">
        <f>+ROUNDDOWN((K650+K651+K652)/K649,2)</f>
        <v>662.09</v>
      </c>
      <c r="L653" s="6" t="s">
        <v>1077</v>
      </c>
    </row>
    <row r="654" spans="2:17">
      <c r="D654" s="6" t="s">
        <v>1212</v>
      </c>
      <c r="I654" s="6" t="s">
        <v>859</v>
      </c>
      <c r="K654" s="18">
        <f>+ROUNDDOWN((K650+K651+K652),2)</f>
        <v>7945.08</v>
      </c>
      <c r="L654" s="6" t="s">
        <v>1206</v>
      </c>
    </row>
    <row r="655" spans="2:17">
      <c r="B655" s="9"/>
      <c r="C655" s="6" t="s">
        <v>1216</v>
      </c>
      <c r="K655" s="50">
        <v>9</v>
      </c>
      <c r="L655" s="6" t="s">
        <v>43</v>
      </c>
    </row>
    <row r="656" spans="2:17">
      <c r="C656" s="6" t="s">
        <v>1205</v>
      </c>
      <c r="I656" s="6" t="s">
        <v>859</v>
      </c>
      <c r="K656" s="22">
        <f>'[4]วัสดุ+ค่าขนส่ง'!I25*9/21</f>
        <v>3648.6383149714288</v>
      </c>
      <c r="L656" s="6" t="s">
        <v>1206</v>
      </c>
      <c r="N656" s="36">
        <v>1</v>
      </c>
    </row>
    <row r="657" spans="2:17">
      <c r="C657" s="6" t="s">
        <v>1207</v>
      </c>
      <c r="I657" s="6" t="s">
        <v>859</v>
      </c>
      <c r="K657" s="22">
        <f>Q657/21*K655</f>
        <v>462.85714285714289</v>
      </c>
      <c r="L657" s="6" t="s">
        <v>1206</v>
      </c>
      <c r="N657" s="36">
        <v>2</v>
      </c>
      <c r="P657" s="6" t="s">
        <v>1208</v>
      </c>
      <c r="Q657" s="51">
        <f>[4]บัญชีค่าแรงงาน!$D$30</f>
        <v>1080</v>
      </c>
    </row>
    <row r="658" spans="2:17">
      <c r="C658" s="6" t="s">
        <v>1209</v>
      </c>
      <c r="I658" s="6" t="s">
        <v>859</v>
      </c>
      <c r="K658" s="22">
        <f>Q658</f>
        <v>250</v>
      </c>
      <c r="L658" s="6" t="s">
        <v>1206</v>
      </c>
      <c r="N658" s="36">
        <v>3</v>
      </c>
      <c r="P658" s="6" t="s">
        <v>1210</v>
      </c>
      <c r="Q658" s="51">
        <f>[4]บัญชีค่าแรงงาน!$D$85</f>
        <v>250</v>
      </c>
    </row>
    <row r="659" spans="2:17">
      <c r="D659" s="6" t="s">
        <v>1211</v>
      </c>
      <c r="I659" s="6" t="s">
        <v>859</v>
      </c>
      <c r="K659" s="18">
        <f>+ROUNDDOWN((K656+K657+K658)/K655,2)</f>
        <v>484.61</v>
      </c>
      <c r="L659" s="6" t="s">
        <v>1077</v>
      </c>
    </row>
    <row r="660" spans="2:17">
      <c r="D660" s="6" t="s">
        <v>1212</v>
      </c>
      <c r="I660" s="6" t="s">
        <v>859</v>
      </c>
      <c r="K660" s="18">
        <f>+ROUNDDOWN((K656+K657+K658),2)</f>
        <v>4361.49</v>
      </c>
      <c r="L660" s="6" t="s">
        <v>1206</v>
      </c>
    </row>
    <row r="661" spans="2:17">
      <c r="B661" s="9"/>
      <c r="C661" s="6" t="s">
        <v>1217</v>
      </c>
      <c r="K661" s="50">
        <v>12</v>
      </c>
      <c r="L661" s="6" t="s">
        <v>43</v>
      </c>
    </row>
    <row r="662" spans="2:17">
      <c r="C662" s="6" t="s">
        <v>1205</v>
      </c>
      <c r="I662" s="6" t="s">
        <v>859</v>
      </c>
      <c r="K662" s="22">
        <f>'[4]วัสดุ+ค่าขนส่ง'!I26</f>
        <v>9631.5494399999989</v>
      </c>
      <c r="L662" s="6" t="s">
        <v>1206</v>
      </c>
      <c r="N662" s="36">
        <v>1</v>
      </c>
    </row>
    <row r="663" spans="2:17">
      <c r="C663" s="6" t="s">
        <v>1207</v>
      </c>
      <c r="I663" s="6" t="s">
        <v>859</v>
      </c>
      <c r="K663" s="22">
        <f>Q663/21*K661</f>
        <v>871.42857142857144</v>
      </c>
      <c r="L663" s="6" t="s">
        <v>1206</v>
      </c>
      <c r="N663" s="36">
        <v>2</v>
      </c>
      <c r="P663" s="6" t="s">
        <v>1208</v>
      </c>
      <c r="Q663" s="51">
        <f>[4]บัญชีค่าแรงงาน!$D$33</f>
        <v>1525</v>
      </c>
    </row>
    <row r="664" spans="2:17">
      <c r="C664" s="6" t="s">
        <v>1209</v>
      </c>
      <c r="I664" s="6" t="s">
        <v>859</v>
      </c>
      <c r="K664" s="22">
        <f>Q664</f>
        <v>280</v>
      </c>
      <c r="L664" s="6" t="s">
        <v>1206</v>
      </c>
      <c r="N664" s="36">
        <v>3</v>
      </c>
      <c r="P664" s="6" t="s">
        <v>1210</v>
      </c>
      <c r="Q664" s="51">
        <f>[4]บัญชีค่าแรงงาน!$D$86</f>
        <v>280</v>
      </c>
    </row>
    <row r="665" spans="2:17">
      <c r="D665" s="6" t="s">
        <v>1211</v>
      </c>
      <c r="I665" s="6" t="s">
        <v>859</v>
      </c>
      <c r="K665" s="18">
        <f>+ROUNDDOWN((K662+K663+K664)/K661,2)</f>
        <v>898.58</v>
      </c>
      <c r="L665" s="6" t="s">
        <v>1077</v>
      </c>
    </row>
    <row r="666" spans="2:17">
      <c r="D666" s="6" t="s">
        <v>1212</v>
      </c>
      <c r="I666" s="6" t="s">
        <v>859</v>
      </c>
      <c r="K666" s="18">
        <f>+ROUNDDOWN((K662+K663+K664),2)</f>
        <v>10782.97</v>
      </c>
      <c r="L666" s="6" t="s">
        <v>1206</v>
      </c>
    </row>
    <row r="667" spans="2:17">
      <c r="B667" s="9"/>
      <c r="C667" s="6" t="s">
        <v>1218</v>
      </c>
      <c r="K667" s="50">
        <v>12</v>
      </c>
      <c r="L667" s="6" t="s">
        <v>43</v>
      </c>
    </row>
    <row r="668" spans="2:17">
      <c r="C668" s="6" t="s">
        <v>1205</v>
      </c>
      <c r="I668" s="6" t="s">
        <v>859</v>
      </c>
      <c r="K668" s="22">
        <f>'[4]วัสดุ+ค่าขนส่ง'!I27</f>
        <v>13499.02146</v>
      </c>
      <c r="L668" s="6" t="s">
        <v>1206</v>
      </c>
      <c r="N668" s="36">
        <v>1</v>
      </c>
    </row>
    <row r="669" spans="2:17">
      <c r="C669" s="6" t="s">
        <v>1207</v>
      </c>
      <c r="I669" s="6" t="s">
        <v>859</v>
      </c>
      <c r="K669" s="22">
        <f>Q669/21*K667</f>
        <v>1045.7142857142858</v>
      </c>
      <c r="L669" s="6" t="s">
        <v>1206</v>
      </c>
      <c r="N669" s="36">
        <v>2</v>
      </c>
      <c r="P669" s="6" t="s">
        <v>1208</v>
      </c>
      <c r="Q669" s="51">
        <f>[4]บัญชีค่าแรงงาน!D36</f>
        <v>1830</v>
      </c>
    </row>
    <row r="670" spans="2:17">
      <c r="C670" s="6" t="s">
        <v>1209</v>
      </c>
      <c r="I670" s="6" t="s">
        <v>859</v>
      </c>
      <c r="K670" s="22">
        <f>Q670</f>
        <v>300</v>
      </c>
      <c r="L670" s="6" t="s">
        <v>1206</v>
      </c>
      <c r="N670" s="36">
        <v>3</v>
      </c>
      <c r="P670" s="6" t="s">
        <v>1210</v>
      </c>
      <c r="Q670" s="51">
        <f>[4]บัญชีค่าแรงงาน!D88</f>
        <v>300</v>
      </c>
    </row>
    <row r="671" spans="2:17">
      <c r="D671" s="6" t="s">
        <v>1211</v>
      </c>
      <c r="I671" s="6" t="s">
        <v>859</v>
      </c>
      <c r="K671" s="18">
        <f>+ROUNDDOWN((K668+K669+K670)/K667,2)</f>
        <v>1237.06</v>
      </c>
      <c r="L671" s="6" t="s">
        <v>1077</v>
      </c>
    </row>
    <row r="672" spans="2:17">
      <c r="D672" s="6" t="s">
        <v>1212</v>
      </c>
      <c r="I672" s="6" t="s">
        <v>859</v>
      </c>
      <c r="K672" s="18">
        <f>+ROUNDDOWN((K668+K669+K670),2)</f>
        <v>14844.73</v>
      </c>
      <c r="L672" s="6" t="s">
        <v>1206</v>
      </c>
    </row>
    <row r="673" spans="1:20">
      <c r="B673" s="9"/>
      <c r="C673" s="6" t="s">
        <v>1219</v>
      </c>
      <c r="K673" s="50">
        <v>15</v>
      </c>
      <c r="L673" s="6" t="s">
        <v>43</v>
      </c>
    </row>
    <row r="674" spans="1:20">
      <c r="C674" s="6" t="s">
        <v>1205</v>
      </c>
      <c r="I674" s="6" t="s">
        <v>859</v>
      </c>
      <c r="K674" s="22">
        <f>'[4]วัสดุ+ค่าขนส่ง'!I28</f>
        <v>17839.26456</v>
      </c>
      <c r="L674" s="6" t="s">
        <v>1206</v>
      </c>
      <c r="N674" s="36">
        <v>1</v>
      </c>
    </row>
    <row r="675" spans="1:20">
      <c r="C675" s="6" t="s">
        <v>1207</v>
      </c>
      <c r="I675" s="6" t="s">
        <v>859</v>
      </c>
      <c r="K675" s="22">
        <f>Q675/21*K673</f>
        <v>1478.5714285714284</v>
      </c>
      <c r="L675" s="6" t="s">
        <v>1206</v>
      </c>
      <c r="N675" s="36">
        <v>2</v>
      </c>
      <c r="P675" s="6" t="s">
        <v>1208</v>
      </c>
      <c r="Q675" s="51">
        <f>[4]บัญชีค่าแรงงาน!D39</f>
        <v>2070</v>
      </c>
    </row>
    <row r="676" spans="1:20">
      <c r="C676" s="6" t="s">
        <v>1209</v>
      </c>
      <c r="I676" s="6" t="s">
        <v>859</v>
      </c>
      <c r="K676" s="22">
        <f>Q676</f>
        <v>320</v>
      </c>
      <c r="L676" s="6" t="s">
        <v>1206</v>
      </c>
      <c r="N676" s="36">
        <v>3</v>
      </c>
      <c r="P676" s="6" t="s">
        <v>1210</v>
      </c>
      <c r="Q676" s="51">
        <f>[4]บัญชีค่าแรงงาน!D90</f>
        <v>320</v>
      </c>
    </row>
    <row r="677" spans="1:20">
      <c r="D677" s="6" t="s">
        <v>1211</v>
      </c>
      <c r="I677" s="6" t="s">
        <v>859</v>
      </c>
      <c r="K677" s="18">
        <f>+ROUNDDOWN((K674+K675+K676)/K673,2)</f>
        <v>1309.18</v>
      </c>
      <c r="L677" s="6" t="s">
        <v>1077</v>
      </c>
    </row>
    <row r="678" spans="1:20">
      <c r="D678" s="6" t="s">
        <v>1212</v>
      </c>
      <c r="I678" s="6" t="s">
        <v>859</v>
      </c>
      <c r="K678" s="18">
        <f>+ROUNDDOWN((K674+K675+K676),2)</f>
        <v>19637.830000000002</v>
      </c>
      <c r="L678" s="6" t="s">
        <v>1206</v>
      </c>
    </row>
    <row r="679" spans="1:20">
      <c r="B679" s="8" t="s">
        <v>884</v>
      </c>
      <c r="C679" s="6" t="s">
        <v>1220</v>
      </c>
    </row>
    <row r="680" spans="1:20">
      <c r="C680" s="6" t="s">
        <v>1221</v>
      </c>
    </row>
    <row r="681" spans="1:20">
      <c r="C681" s="6" t="s">
        <v>1222</v>
      </c>
    </row>
    <row r="682" spans="1:20">
      <c r="C682" s="6" t="s">
        <v>1223</v>
      </c>
    </row>
    <row r="683" spans="1:20">
      <c r="C683" s="6" t="s">
        <v>1224</v>
      </c>
    </row>
    <row r="684" spans="1:20">
      <c r="B684" s="9">
        <v>18.2</v>
      </c>
      <c r="C684" s="6" t="s">
        <v>1225</v>
      </c>
    </row>
    <row r="685" spans="1:20">
      <c r="C685" s="6" t="s">
        <v>1226</v>
      </c>
    </row>
    <row r="686" spans="1:20">
      <c r="C686" s="6" t="s">
        <v>1227</v>
      </c>
      <c r="I686" s="6" t="s">
        <v>859</v>
      </c>
      <c r="K686" s="18">
        <v>1000</v>
      </c>
      <c r="L686" s="6" t="s">
        <v>1206</v>
      </c>
    </row>
    <row r="687" spans="1:20" s="52" customFormat="1" ht="24">
      <c r="A687" s="6"/>
      <c r="B687" s="6"/>
      <c r="C687" s="6"/>
      <c r="D687" s="6" t="s">
        <v>861</v>
      </c>
      <c r="E687" s="6"/>
      <c r="F687" s="6"/>
      <c r="G687" s="6"/>
      <c r="H687" s="6"/>
      <c r="I687" s="6" t="s">
        <v>859</v>
      </c>
      <c r="J687" s="6"/>
      <c r="K687" s="18">
        <f>+ROUNDDOWN(K686,2)</f>
        <v>1000</v>
      </c>
      <c r="L687" s="6" t="s">
        <v>1206</v>
      </c>
      <c r="M687" s="6"/>
      <c r="N687" s="6"/>
      <c r="O687" s="6"/>
      <c r="P687" s="6"/>
      <c r="Q687" s="6"/>
      <c r="R687" s="6"/>
      <c r="S687" s="6"/>
      <c r="T687" s="6"/>
    </row>
    <row r="688" spans="1:20" s="52" customFormat="1" ht="24">
      <c r="A688" s="6"/>
      <c r="B688" s="8" t="s">
        <v>884</v>
      </c>
      <c r="C688" s="6" t="s">
        <v>1228</v>
      </c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5" s="52" customFormat="1" ht="24">
      <c r="A689" s="53">
        <v>21</v>
      </c>
      <c r="B689" s="53" t="s">
        <v>42</v>
      </c>
    </row>
    <row r="690" spans="1:25" s="52" customFormat="1" ht="24">
      <c r="A690" s="53"/>
      <c r="B690" s="54">
        <v>21.1</v>
      </c>
      <c r="C690" s="52" t="s">
        <v>1229</v>
      </c>
      <c r="F690" s="54" t="s">
        <v>1230</v>
      </c>
      <c r="G690" s="54"/>
      <c r="H690" s="55">
        <v>0.9</v>
      </c>
      <c r="I690" s="52" t="s">
        <v>43</v>
      </c>
      <c r="J690" s="54" t="s">
        <v>1231</v>
      </c>
      <c r="K690" s="55">
        <v>6</v>
      </c>
      <c r="L690" s="52" t="s">
        <v>43</v>
      </c>
      <c r="U690" s="52" t="s">
        <v>1232</v>
      </c>
    </row>
    <row r="691" spans="1:25" s="52" customFormat="1" ht="24">
      <c r="A691" s="53"/>
      <c r="C691" s="52" t="s">
        <v>1233</v>
      </c>
      <c r="T691" s="52" t="s">
        <v>1234</v>
      </c>
      <c r="U691" s="52" t="s">
        <v>1232</v>
      </c>
    </row>
    <row r="692" spans="1:25" s="52" customFormat="1" ht="24">
      <c r="A692" s="53"/>
      <c r="C692" s="52" t="s">
        <v>1235</v>
      </c>
      <c r="E692" s="52" t="s">
        <v>1169</v>
      </c>
      <c r="F692" s="56">
        <v>1.2</v>
      </c>
      <c r="G692" s="52" t="s">
        <v>43</v>
      </c>
      <c r="I692" s="52" t="s">
        <v>859</v>
      </c>
      <c r="K692" s="55">
        <f>+((K690/F692+1)*H690)*R692</f>
        <v>19.494</v>
      </c>
      <c r="L692" s="52" t="s">
        <v>33</v>
      </c>
      <c r="O692" s="52" t="s">
        <v>1236</v>
      </c>
      <c r="R692" s="54">
        <v>3.61</v>
      </c>
      <c r="S692" s="52" t="s">
        <v>1237</v>
      </c>
      <c r="T692" s="57">
        <f>+(2*PI()*0.05/2)</f>
        <v>0.15707963267948966</v>
      </c>
      <c r="U692" s="52" t="s">
        <v>1238</v>
      </c>
    </row>
    <row r="693" spans="1:25" s="52" customFormat="1" ht="24">
      <c r="A693" s="53"/>
      <c r="C693" s="52" t="s">
        <v>1239</v>
      </c>
      <c r="F693" s="56">
        <f>+K690</f>
        <v>6</v>
      </c>
      <c r="G693" s="52" t="s">
        <v>43</v>
      </c>
      <c r="I693" s="52" t="s">
        <v>859</v>
      </c>
      <c r="K693" s="55">
        <f>(2*F693)*R693</f>
        <v>43.32</v>
      </c>
      <c r="L693" s="52" t="s">
        <v>33</v>
      </c>
      <c r="O693" s="52" t="s">
        <v>1236</v>
      </c>
      <c r="R693" s="54">
        <v>3.61</v>
      </c>
      <c r="S693" s="52" t="s">
        <v>1237</v>
      </c>
      <c r="T693" s="57">
        <f>+(2*PI()*0.05/2)</f>
        <v>0.15707963267948966</v>
      </c>
    </row>
    <row r="694" spans="1:25" s="52" customFormat="1" ht="24">
      <c r="A694" s="53"/>
      <c r="C694" s="52" t="s">
        <v>1240</v>
      </c>
      <c r="I694" s="52" t="s">
        <v>859</v>
      </c>
      <c r="K694" s="55">
        <f>+(K690/F692+1)*(PI()*(0.15/2)^2)*R694</f>
        <v>6.8845057760307586</v>
      </c>
      <c r="L694" s="52" t="s">
        <v>33</v>
      </c>
      <c r="O694" s="52" t="s">
        <v>1241</v>
      </c>
      <c r="R694" s="56">
        <f>187/(1.2*2.4)</f>
        <v>64.930555555555557</v>
      </c>
      <c r="S694" s="52" t="s">
        <v>1242</v>
      </c>
      <c r="T694" s="57">
        <f>+((PI()*(0.15/2)^2))</f>
        <v>1.7671458676442587E-2</v>
      </c>
    </row>
    <row r="695" spans="1:25" s="52" customFormat="1" ht="24">
      <c r="A695" s="53"/>
      <c r="D695" s="52" t="s">
        <v>1243</v>
      </c>
      <c r="F695" s="56"/>
      <c r="G695" s="56"/>
      <c r="K695" s="58">
        <f>+K692+K693+K694</f>
        <v>69.698505776030757</v>
      </c>
      <c r="L695" s="52" t="s">
        <v>33</v>
      </c>
    </row>
    <row r="696" spans="1:25" s="52" customFormat="1" ht="24">
      <c r="A696" s="53"/>
      <c r="D696" s="52" t="s">
        <v>1244</v>
      </c>
      <c r="F696" s="56"/>
      <c r="G696" s="56"/>
      <c r="K696" s="59">
        <f>+K695*1.1</f>
        <v>76.66835635363384</v>
      </c>
      <c r="L696" s="52" t="s">
        <v>33</v>
      </c>
    </row>
    <row r="697" spans="1:25" s="52" customFormat="1" ht="24">
      <c r="A697" s="53"/>
      <c r="C697" s="52" t="s">
        <v>1245</v>
      </c>
      <c r="I697" s="52" t="s">
        <v>859</v>
      </c>
      <c r="K697" s="55">
        <f>+ROUND((K690/F692+1),0)*4</f>
        <v>24</v>
      </c>
      <c r="L697" s="52" t="s">
        <v>737</v>
      </c>
    </row>
    <row r="698" spans="1:25" s="52" customFormat="1" ht="24">
      <c r="A698" s="53"/>
      <c r="C698" s="52" t="s">
        <v>1246</v>
      </c>
      <c r="I698" s="52" t="s">
        <v>859</v>
      </c>
      <c r="K698" s="55">
        <f>+K697</f>
        <v>24</v>
      </c>
      <c r="L698" s="52" t="s">
        <v>737</v>
      </c>
      <c r="O698" s="60"/>
    </row>
    <row r="699" spans="1:25" s="52" customFormat="1" ht="24">
      <c r="A699" s="53"/>
      <c r="B699" s="53"/>
      <c r="C699" s="52" t="s">
        <v>1247</v>
      </c>
      <c r="I699" s="52" t="s">
        <v>859</v>
      </c>
      <c r="K699" s="55">
        <f>+K698*2</f>
        <v>48</v>
      </c>
      <c r="L699" s="52" t="s">
        <v>737</v>
      </c>
    </row>
    <row r="700" spans="1:25" s="52" customFormat="1" ht="24">
      <c r="A700" s="53"/>
      <c r="C700" s="52" t="s">
        <v>1248</v>
      </c>
      <c r="F700" s="52" t="s">
        <v>1249</v>
      </c>
    </row>
    <row r="701" spans="1:25" s="52" customFormat="1" ht="24">
      <c r="C701" s="52" t="s">
        <v>1250</v>
      </c>
      <c r="F701" s="61">
        <f>'[4]วัสดุ+ค่าขนส่ง'!K29</f>
        <v>22.939809553579479</v>
      </c>
      <c r="G701" s="52" t="s">
        <v>964</v>
      </c>
      <c r="I701" s="52" t="s">
        <v>859</v>
      </c>
      <c r="K701" s="61">
        <f>+F701*K696</f>
        <v>1758.7574935383254</v>
      </c>
      <c r="L701" s="52" t="s">
        <v>964</v>
      </c>
    </row>
    <row r="702" spans="1:25" s="52" customFormat="1" ht="24">
      <c r="C702" s="52" t="s">
        <v>1245</v>
      </c>
      <c r="F702" s="61">
        <f>25</f>
        <v>25</v>
      </c>
      <c r="G702" s="52" t="s">
        <v>964</v>
      </c>
      <c r="I702" s="52" t="s">
        <v>859</v>
      </c>
      <c r="K702" s="61">
        <f>F702*K697</f>
        <v>600</v>
      </c>
      <c r="L702" s="52" t="s">
        <v>964</v>
      </c>
      <c r="O702" s="52" t="s">
        <v>1251</v>
      </c>
      <c r="P702" s="60" t="s">
        <v>1252</v>
      </c>
      <c r="U702" s="62" t="s">
        <v>1253</v>
      </c>
      <c r="V702" s="62" t="s">
        <v>1254</v>
      </c>
    </row>
    <row r="703" spans="1:25" s="52" customFormat="1" ht="24">
      <c r="C703" s="52" t="s">
        <v>1246</v>
      </c>
      <c r="F703" s="61">
        <f>(25/8)</f>
        <v>3.125</v>
      </c>
      <c r="G703" s="52" t="s">
        <v>964</v>
      </c>
      <c r="I703" s="52" t="s">
        <v>859</v>
      </c>
      <c r="K703" s="61">
        <f>F703*K698</f>
        <v>75</v>
      </c>
      <c r="L703" s="52" t="s">
        <v>964</v>
      </c>
      <c r="R703" s="53" t="s">
        <v>1255</v>
      </c>
      <c r="U703" s="63" t="s">
        <v>860</v>
      </c>
      <c r="V703" s="63" t="s">
        <v>860</v>
      </c>
      <c r="W703" s="53" t="s">
        <v>1256</v>
      </c>
    </row>
    <row r="704" spans="1:25" s="52" customFormat="1" ht="24">
      <c r="C704" s="52" t="s">
        <v>1247</v>
      </c>
      <c r="F704" s="61">
        <f>(19/10)</f>
        <v>1.9</v>
      </c>
      <c r="G704" s="52" t="s">
        <v>964</v>
      </c>
      <c r="I704" s="52" t="s">
        <v>859</v>
      </c>
      <c r="K704" s="61">
        <f>F704*K699</f>
        <v>91.199999999999989</v>
      </c>
      <c r="L704" s="52" t="s">
        <v>964</v>
      </c>
      <c r="R704" s="64" t="s">
        <v>54</v>
      </c>
      <c r="S704" s="65"/>
      <c r="T704" s="62" t="s">
        <v>1257</v>
      </c>
      <c r="U704" s="66">
        <v>35</v>
      </c>
      <c r="V704" s="67" t="e">
        <f>+T706+U704</f>
        <v>#N/A</v>
      </c>
      <c r="W704" s="52" t="s">
        <v>1258</v>
      </c>
      <c r="X704" s="54">
        <f>+X705*5</f>
        <v>90</v>
      </c>
      <c r="Y704" s="52" t="s">
        <v>16</v>
      </c>
    </row>
    <row r="705" spans="1:25" s="52" customFormat="1" ht="26.25">
      <c r="B705" s="52" t="s">
        <v>1259</v>
      </c>
      <c r="I705" s="52" t="s">
        <v>859</v>
      </c>
      <c r="K705" s="68">
        <f>+SUM(K701:K704)</f>
        <v>2524.9574935383253</v>
      </c>
      <c r="L705" s="52" t="s">
        <v>964</v>
      </c>
      <c r="N705" s="69">
        <v>1</v>
      </c>
      <c r="R705" s="70"/>
      <c r="S705" s="71"/>
      <c r="T705" s="63" t="s">
        <v>860</v>
      </c>
      <c r="U705" s="72"/>
      <c r="V705" s="73">
        <f>+T707+U705</f>
        <v>0</v>
      </c>
      <c r="W705" s="52" t="s">
        <v>1260</v>
      </c>
      <c r="X705" s="54">
        <v>18</v>
      </c>
      <c r="Y705" s="52" t="s">
        <v>16</v>
      </c>
    </row>
    <row r="706" spans="1:25" s="52" customFormat="1" ht="26.25">
      <c r="F706" s="52" t="s">
        <v>3</v>
      </c>
      <c r="R706" s="74" t="s">
        <v>1255</v>
      </c>
      <c r="S706" s="75"/>
      <c r="T706" s="76" t="e">
        <v>#N/A</v>
      </c>
      <c r="U706" s="77"/>
      <c r="V706" s="78" t="e">
        <f>ROUNDDOWN(+V704+V705,2)</f>
        <v>#N/A</v>
      </c>
      <c r="W706" s="54"/>
    </row>
    <row r="707" spans="1:25" s="52" customFormat="1" ht="24">
      <c r="B707" s="52" t="s">
        <v>1261</v>
      </c>
      <c r="E707" s="79"/>
      <c r="F707" s="61">
        <v>12</v>
      </c>
      <c r="G707" s="52" t="s">
        <v>977</v>
      </c>
      <c r="I707" s="52" t="s">
        <v>859</v>
      </c>
      <c r="K707" s="61">
        <f>+K696*F707</f>
        <v>920.02027624360608</v>
      </c>
      <c r="L707" s="52" t="s">
        <v>964</v>
      </c>
      <c r="N707" s="69">
        <v>2</v>
      </c>
      <c r="R707" s="70"/>
      <c r="S707" s="71"/>
      <c r="T707" s="80"/>
    </row>
    <row r="708" spans="1:25" s="52" customFormat="1" ht="24">
      <c r="B708" s="52" t="s">
        <v>1262</v>
      </c>
      <c r="D708" s="81">
        <f>+((((K690/F692+1)*H690)+(2*F693))*T692)+((K690/F692+1)*T694*2)</f>
        <v>2.9452431127404308</v>
      </c>
      <c r="E708" s="54" t="s">
        <v>16</v>
      </c>
      <c r="F708" s="61">
        <v>17.72</v>
      </c>
      <c r="G708" s="52" t="s">
        <v>860</v>
      </c>
      <c r="I708" s="52" t="s">
        <v>859</v>
      </c>
      <c r="K708" s="61">
        <f>+D708*F708</f>
        <v>52.189707957760433</v>
      </c>
      <c r="L708" s="52" t="s">
        <v>964</v>
      </c>
      <c r="N708" s="69">
        <v>3</v>
      </c>
      <c r="T708" s="82" t="s">
        <v>1263</v>
      </c>
    </row>
    <row r="709" spans="1:25" s="52" customFormat="1" ht="24">
      <c r="B709" s="52" t="s">
        <v>1130</v>
      </c>
      <c r="C709" s="61">
        <f>+K705</f>
        <v>2524.9574935383253</v>
      </c>
      <c r="D709" s="52" t="s">
        <v>1264</v>
      </c>
      <c r="I709" s="52" t="s">
        <v>859</v>
      </c>
      <c r="K709" s="61">
        <f>+C709*0.3</f>
        <v>757.48724806149755</v>
      </c>
      <c r="L709" s="52" t="s">
        <v>964</v>
      </c>
      <c r="N709" s="69">
        <v>4</v>
      </c>
    </row>
    <row r="710" spans="1:25" s="52" customFormat="1" ht="26.25">
      <c r="D710" s="52" t="s">
        <v>1265</v>
      </c>
      <c r="I710" s="52" t="s">
        <v>859</v>
      </c>
      <c r="K710" s="68">
        <f>+K705+K707+K708+K709</f>
        <v>4254.6547258011888</v>
      </c>
      <c r="L710" s="52" t="s">
        <v>964</v>
      </c>
      <c r="N710" s="69">
        <v>5</v>
      </c>
      <c r="P710" s="83"/>
    </row>
    <row r="711" spans="1:25" s="52" customFormat="1" ht="26.25">
      <c r="B711" s="52" t="s">
        <v>1266</v>
      </c>
      <c r="D711" s="61">
        <f>+K710</f>
        <v>4254.6547258011888</v>
      </c>
      <c r="E711" s="52" t="s">
        <v>1267</v>
      </c>
      <c r="I711" s="52" t="s">
        <v>859</v>
      </c>
      <c r="K711" s="84">
        <f>+ROUNDDOWN(K710/K690,2)</f>
        <v>709.1</v>
      </c>
      <c r="L711" s="52" t="s">
        <v>1077</v>
      </c>
    </row>
    <row r="712" spans="1:25" s="52" customFormat="1" ht="24">
      <c r="A712" s="53">
        <v>22</v>
      </c>
      <c r="B712" s="53" t="s">
        <v>1268</v>
      </c>
    </row>
    <row r="713" spans="1:25" s="52" customFormat="1" ht="24">
      <c r="A713" s="53"/>
      <c r="B713" s="54">
        <v>22.1</v>
      </c>
      <c r="C713" s="52" t="s">
        <v>1269</v>
      </c>
      <c r="R713" s="54"/>
    </row>
    <row r="714" spans="1:25" s="52" customFormat="1" ht="24">
      <c r="A714" s="53"/>
      <c r="B714" s="53"/>
      <c r="C714" s="52" t="s">
        <v>1270</v>
      </c>
      <c r="I714" s="52" t="s">
        <v>859</v>
      </c>
      <c r="K714" s="61">
        <f>(0.1+0.1+0.15)+0.3+(0.15+0.1+0.1)</f>
        <v>0.99999999999999989</v>
      </c>
      <c r="L714" s="52" t="s">
        <v>43</v>
      </c>
      <c r="R714" s="54"/>
    </row>
    <row r="715" spans="1:25" s="52" customFormat="1" ht="24">
      <c r="A715" s="53"/>
      <c r="B715" s="53"/>
      <c r="C715" s="52" t="s">
        <v>1271</v>
      </c>
      <c r="F715" s="56">
        <f>PI()*0.019^2/4*7850</f>
        <v>2.2257005853438585</v>
      </c>
      <c r="G715" s="52" t="s">
        <v>1237</v>
      </c>
      <c r="K715" s="61">
        <f>+K714*F715</f>
        <v>2.2257005853438581</v>
      </c>
      <c r="L715" s="52" t="s">
        <v>1272</v>
      </c>
      <c r="R715" s="54"/>
    </row>
    <row r="716" spans="1:25" s="52" customFormat="1" ht="24">
      <c r="A716" s="53"/>
      <c r="B716" s="53"/>
      <c r="F716" s="52" t="s">
        <v>1249</v>
      </c>
    </row>
    <row r="717" spans="1:25" s="52" customFormat="1" ht="24">
      <c r="B717" s="52" t="s">
        <v>1259</v>
      </c>
      <c r="F717" s="61">
        <f>'[4]วัสดุ+ค่าขนส่ง'!J11</f>
        <v>21.49184</v>
      </c>
      <c r="G717" s="52" t="s">
        <v>964</v>
      </c>
      <c r="I717" s="52" t="s">
        <v>859</v>
      </c>
      <c r="K717" s="61">
        <f>+F717*K715</f>
        <v>47.834400868116539</v>
      </c>
      <c r="L717" s="52" t="s">
        <v>964</v>
      </c>
      <c r="N717" s="69">
        <v>1</v>
      </c>
    </row>
    <row r="718" spans="1:25" s="52" customFormat="1" ht="24">
      <c r="B718" s="52" t="s">
        <v>1273</v>
      </c>
      <c r="D718" s="61">
        <f>+K715</f>
        <v>2.2257005853438581</v>
      </c>
      <c r="E718" s="52" t="s">
        <v>1274</v>
      </c>
      <c r="I718" s="52" t="s">
        <v>859</v>
      </c>
      <c r="K718" s="61">
        <f>+D718*15</f>
        <v>33.38550878015787</v>
      </c>
      <c r="L718" s="52" t="s">
        <v>964</v>
      </c>
      <c r="N718" s="69">
        <v>2</v>
      </c>
    </row>
    <row r="719" spans="1:25" ht="24">
      <c r="A719" s="52"/>
      <c r="B719" s="52" t="s">
        <v>1275</v>
      </c>
      <c r="C719" s="52"/>
      <c r="D719" s="61">
        <f>+K717</f>
        <v>47.834400868116539</v>
      </c>
      <c r="E719" s="52" t="s">
        <v>1276</v>
      </c>
      <c r="F719" s="52"/>
      <c r="G719" s="52"/>
      <c r="H719" s="52"/>
      <c r="I719" s="52" t="s">
        <v>859</v>
      </c>
      <c r="J719" s="52"/>
      <c r="K719" s="61">
        <f>+D719*0.3</f>
        <v>14.350320260434961</v>
      </c>
      <c r="L719" s="52" t="s">
        <v>964</v>
      </c>
      <c r="M719" s="52"/>
      <c r="N719" s="69">
        <v>3</v>
      </c>
      <c r="O719" s="52"/>
      <c r="P719" s="52"/>
      <c r="Q719" s="52"/>
      <c r="R719" s="52"/>
      <c r="S719" s="52"/>
      <c r="T719" s="52"/>
    </row>
    <row r="720" spans="1:25" ht="24">
      <c r="A720" s="52"/>
      <c r="B720" s="52"/>
      <c r="C720" s="52"/>
      <c r="D720" s="52" t="s">
        <v>1161</v>
      </c>
      <c r="E720" s="52"/>
      <c r="F720" s="52"/>
      <c r="G720" s="52"/>
      <c r="H720" s="52"/>
      <c r="I720" s="52" t="s">
        <v>859</v>
      </c>
      <c r="J720" s="52"/>
      <c r="K720" s="57">
        <f>+ROUNDDOWN(K717+K718+K719,2)</f>
        <v>95.57</v>
      </c>
      <c r="L720" s="52" t="s">
        <v>1277</v>
      </c>
      <c r="M720" s="52"/>
      <c r="N720" s="52"/>
      <c r="O720" s="52"/>
      <c r="P720" s="52"/>
      <c r="Q720" s="52"/>
      <c r="R720" s="52"/>
      <c r="S720" s="52"/>
      <c r="T720" s="52"/>
    </row>
    <row r="721" spans="1:24">
      <c r="A721" s="8">
        <v>23</v>
      </c>
      <c r="B721" s="8" t="s">
        <v>1278</v>
      </c>
      <c r="W721" s="6" t="s">
        <v>1279</v>
      </c>
    </row>
    <row r="722" spans="1:24">
      <c r="A722" s="8"/>
      <c r="B722" s="8" t="s">
        <v>1280</v>
      </c>
      <c r="U722" s="85" t="s">
        <v>1281</v>
      </c>
      <c r="V722" s="85" t="s">
        <v>1282</v>
      </c>
      <c r="W722" s="85" t="s">
        <v>1281</v>
      </c>
      <c r="X722" s="85" t="s">
        <v>1282</v>
      </c>
    </row>
    <row r="723" spans="1:24">
      <c r="A723" s="8"/>
      <c r="B723" s="6">
        <v>23.1</v>
      </c>
      <c r="C723" s="6" t="str">
        <f>+"งานจัดหาและติดตั้ง ตะแกรงฝาบ่อ ขนาด "&amp;E724&amp;"x"&amp;J724&amp;" ม."</f>
        <v>งานจัดหาและติดตั้ง ตะแกรงฝาบ่อ ขนาด 2x0.625 ม.</v>
      </c>
      <c r="T723" s="8" t="s">
        <v>1283</v>
      </c>
      <c r="U723" s="86"/>
      <c r="V723" s="86"/>
      <c r="W723" s="86" t="s">
        <v>1284</v>
      </c>
      <c r="X723" s="86" t="s">
        <v>1284</v>
      </c>
    </row>
    <row r="724" spans="1:24">
      <c r="A724" s="8"/>
      <c r="C724" s="6" t="s">
        <v>1285</v>
      </c>
      <c r="E724" s="87">
        <v>2</v>
      </c>
      <c r="F724" s="6" t="s">
        <v>43</v>
      </c>
      <c r="H724" s="6" t="s">
        <v>1231</v>
      </c>
      <c r="J724" s="88">
        <v>0.625</v>
      </c>
      <c r="K724" s="6" t="s">
        <v>43</v>
      </c>
      <c r="T724" s="85" t="s">
        <v>1286</v>
      </c>
      <c r="U724" s="89" t="s">
        <v>1287</v>
      </c>
      <c r="V724" s="89" t="s">
        <v>1288</v>
      </c>
      <c r="W724" s="90">
        <f>35.43/6</f>
        <v>5.9050000000000002</v>
      </c>
      <c r="X724" s="90">
        <v>3.53</v>
      </c>
    </row>
    <row r="725" spans="1:24">
      <c r="A725" s="8"/>
      <c r="C725" s="6" t="s">
        <v>1289</v>
      </c>
      <c r="E725" s="9">
        <v>0.05</v>
      </c>
      <c r="F725" s="6" t="s">
        <v>43</v>
      </c>
      <c r="H725" s="6" t="s">
        <v>1290</v>
      </c>
      <c r="J725" s="91" t="str">
        <f>+IF(E724&lt;0.7,$U$724,IF(AND(E724&gt;0.7,E724&lt;=1.2),$U$725,IF(AND(E724&gt;1.2,E724&lt;=1.6),$U$726,IF(AND(E724&gt;1.6,E724&lt;=2.15),$U$727,IF(AND(E724&gt;2.15,E724&lt;=2.55),$U$728,IF(AND(E724&gt;2.55,E724&lt;=2.9),$U$729,$U$729))))))</f>
        <v>PL-125x16 mm.</v>
      </c>
      <c r="K725" s="92"/>
      <c r="L725" s="6" t="s">
        <v>1291</v>
      </c>
      <c r="M725" s="93">
        <f>+VLOOKUP(J725,$U$724:$X$729,3,FALSE)</f>
        <v>15.7</v>
      </c>
      <c r="N725" s="6" t="s">
        <v>1237</v>
      </c>
      <c r="T725" s="86"/>
      <c r="U725" s="94" t="s">
        <v>1292</v>
      </c>
      <c r="V725" s="94" t="s">
        <v>1293</v>
      </c>
      <c r="W725" s="95">
        <v>9.42</v>
      </c>
      <c r="X725" s="95">
        <v>6.28</v>
      </c>
    </row>
    <row r="726" spans="1:24">
      <c r="A726" s="8"/>
      <c r="C726" s="6" t="s">
        <v>1294</v>
      </c>
      <c r="E726" s="26">
        <v>0.1</v>
      </c>
      <c r="F726" s="6" t="s">
        <v>43</v>
      </c>
      <c r="H726" s="6" t="s">
        <v>1290</v>
      </c>
      <c r="J726" s="91" t="str">
        <f>+IF(E724&lt;0.7,$V$724,IF(AND(E724&gt;0.7,E724&lt;=1.2),$V$725,IF(AND(E724&gt;1.2,E724&lt;=1.6),$V$726,IF(AND(E724&gt;1.6,E724&lt;=2.15),$V$727,IF(AND(E724&gt;2.15,E724&lt;=2.55),$V$728,IF(AND(E724&gt;2.55,E724&lt;=2.9),$V$729,$V$729))))))</f>
        <v>PL-125x9 mm.</v>
      </c>
      <c r="K726" s="92"/>
      <c r="L726" s="6" t="s">
        <v>1291</v>
      </c>
      <c r="M726" s="93">
        <f>+VLOOKUP(J726,$V$724:$X$729,3,FALSE)</f>
        <v>8.83</v>
      </c>
      <c r="N726" s="6" t="s">
        <v>1237</v>
      </c>
      <c r="T726" s="89" t="s">
        <v>1295</v>
      </c>
      <c r="U726" s="94" t="s">
        <v>1296</v>
      </c>
      <c r="V726" s="94" t="s">
        <v>1297</v>
      </c>
      <c r="W726" s="95">
        <v>11.8</v>
      </c>
      <c r="X726" s="95">
        <v>8.83</v>
      </c>
    </row>
    <row r="727" spans="1:24">
      <c r="A727" s="8"/>
      <c r="C727" s="6" t="s">
        <v>1298</v>
      </c>
      <c r="E727" s="9">
        <f>+((J724/E725+1)*E724)+(2*J724)</f>
        <v>28.25</v>
      </c>
      <c r="F727" s="6" t="s">
        <v>43</v>
      </c>
      <c r="I727" s="6" t="s">
        <v>859</v>
      </c>
      <c r="K727" s="35">
        <f>E727*M725</f>
        <v>443.52499999999998</v>
      </c>
      <c r="L727" s="6" t="s">
        <v>33</v>
      </c>
      <c r="T727" s="94" t="s">
        <v>1299</v>
      </c>
      <c r="U727" s="94" t="s">
        <v>1300</v>
      </c>
      <c r="V727" s="94" t="s">
        <v>1297</v>
      </c>
      <c r="W727" s="95">
        <v>15.7</v>
      </c>
      <c r="X727" s="95">
        <v>8.83</v>
      </c>
    </row>
    <row r="728" spans="1:24">
      <c r="A728" s="8"/>
      <c r="C728" s="6" t="s">
        <v>1301</v>
      </c>
      <c r="E728" s="9">
        <f>+(E724/E726)*J724</f>
        <v>12.5</v>
      </c>
      <c r="F728" s="6" t="s">
        <v>43</v>
      </c>
      <c r="I728" s="6" t="s">
        <v>859</v>
      </c>
      <c r="K728" s="35">
        <f>E728*M726</f>
        <v>110.375</v>
      </c>
      <c r="L728" s="6" t="s">
        <v>33</v>
      </c>
      <c r="T728" s="94" t="s">
        <v>1302</v>
      </c>
      <c r="U728" s="94" t="s">
        <v>1303</v>
      </c>
      <c r="V728" s="94" t="s">
        <v>1296</v>
      </c>
      <c r="W728" s="95">
        <v>18.600000000000001</v>
      </c>
      <c r="X728" s="95">
        <v>11.8</v>
      </c>
    </row>
    <row r="729" spans="1:24" ht="25.5">
      <c r="A729" s="8"/>
      <c r="D729" s="6" t="s">
        <v>1243</v>
      </c>
      <c r="E729" s="9"/>
      <c r="K729" s="96">
        <f>+K727+K728</f>
        <v>553.9</v>
      </c>
      <c r="L729" s="6" t="s">
        <v>33</v>
      </c>
      <c r="T729" s="94" t="s">
        <v>1304</v>
      </c>
      <c r="U729" s="97" t="s">
        <v>1305</v>
      </c>
      <c r="V729" s="97" t="s">
        <v>1296</v>
      </c>
      <c r="W729" s="98">
        <v>21.6</v>
      </c>
      <c r="X729" s="98">
        <v>11.8</v>
      </c>
    </row>
    <row r="730" spans="1:24" ht="25.5">
      <c r="A730" s="8"/>
      <c r="D730" s="6" t="s">
        <v>1244</v>
      </c>
      <c r="K730" s="99">
        <f>+K729*1.1</f>
        <v>609.29000000000008</v>
      </c>
      <c r="L730" s="6" t="s">
        <v>33</v>
      </c>
      <c r="T730" s="94" t="s">
        <v>1306</v>
      </c>
    </row>
    <row r="731" spans="1:24">
      <c r="A731" s="8"/>
      <c r="F731" s="6" t="s">
        <v>1249</v>
      </c>
      <c r="K731" s="35"/>
      <c r="T731" s="97" t="s">
        <v>1307</v>
      </c>
    </row>
    <row r="732" spans="1:24">
      <c r="B732" s="6" t="s">
        <v>1308</v>
      </c>
      <c r="F732" s="100">
        <v>30.905882578786944</v>
      </c>
      <c r="G732" s="6" t="s">
        <v>964</v>
      </c>
      <c r="I732" s="6" t="s">
        <v>859</v>
      </c>
      <c r="K732" s="100">
        <f>+F732*K730</f>
        <v>18830.645196429101</v>
      </c>
      <c r="L732" s="6" t="s">
        <v>1150</v>
      </c>
      <c r="N732" s="36">
        <v>1</v>
      </c>
    </row>
    <row r="733" spans="1:24">
      <c r="B733" s="6" t="s">
        <v>1261</v>
      </c>
      <c r="E733" s="101"/>
      <c r="F733" s="100">
        <v>12</v>
      </c>
      <c r="G733" s="6" t="s">
        <v>977</v>
      </c>
      <c r="I733" s="6" t="s">
        <v>859</v>
      </c>
      <c r="K733" s="100">
        <f>+K730*F733</f>
        <v>7311.4800000000014</v>
      </c>
      <c r="L733" s="6" t="s">
        <v>1150</v>
      </c>
      <c r="N733" s="36">
        <v>2</v>
      </c>
    </row>
    <row r="734" spans="1:24">
      <c r="B734" s="6" t="s">
        <v>1273</v>
      </c>
      <c r="D734" s="100">
        <f>+K730</f>
        <v>609.29000000000008</v>
      </c>
      <c r="E734" s="6" t="s">
        <v>1274</v>
      </c>
      <c r="I734" s="6" t="s">
        <v>859</v>
      </c>
      <c r="K734" s="100">
        <f>+D734*15</f>
        <v>9139.35</v>
      </c>
      <c r="L734" s="6" t="s">
        <v>1150</v>
      </c>
      <c r="N734" s="36">
        <v>3</v>
      </c>
    </row>
    <row r="735" spans="1:24">
      <c r="B735" s="6" t="s">
        <v>1309</v>
      </c>
      <c r="E735" s="100">
        <f>+K732</f>
        <v>18830.645196429101</v>
      </c>
      <c r="F735" s="6" t="s">
        <v>1276</v>
      </c>
      <c r="I735" s="6" t="s">
        <v>859</v>
      </c>
      <c r="K735" s="100">
        <f>+(E735*0.3)</f>
        <v>5649.1935589287305</v>
      </c>
      <c r="L735" s="6" t="s">
        <v>1150</v>
      </c>
      <c r="N735" s="36">
        <v>4</v>
      </c>
    </row>
    <row r="736" spans="1:24" ht="25.5">
      <c r="D736" s="6" t="s">
        <v>1265</v>
      </c>
      <c r="I736" s="6" t="s">
        <v>859</v>
      </c>
      <c r="K736" s="102">
        <f>ROUNDDOWN(+K732+K733+K734+K735,0)</f>
        <v>40930</v>
      </c>
      <c r="L736" s="6" t="s">
        <v>1150</v>
      </c>
    </row>
    <row r="737" spans="1:20">
      <c r="A737" s="8">
        <v>32</v>
      </c>
      <c r="B737" s="8" t="s">
        <v>1310</v>
      </c>
    </row>
    <row r="738" spans="1:20">
      <c r="A738" s="8"/>
      <c r="B738" s="8">
        <v>32.1</v>
      </c>
      <c r="C738" s="6" t="s">
        <v>1311</v>
      </c>
    </row>
    <row r="739" spans="1:20">
      <c r="C739" s="6" t="s">
        <v>950</v>
      </c>
      <c r="D739" s="7"/>
      <c r="E739" s="8"/>
      <c r="F739" s="8"/>
      <c r="G739" s="8"/>
      <c r="H739" s="8"/>
      <c r="I739" s="8" t="s">
        <v>859</v>
      </c>
      <c r="J739" s="22">
        <f>'[4]วัสดุ+ค่าขนส่ง'!I75</f>
        <v>932.02</v>
      </c>
      <c r="K739" s="45"/>
      <c r="L739" s="6" t="s">
        <v>1033</v>
      </c>
    </row>
    <row r="740" spans="1:20">
      <c r="C740" s="6" t="s">
        <v>870</v>
      </c>
      <c r="D740" s="13">
        <v>0</v>
      </c>
      <c r="E740" s="6" t="s">
        <v>871</v>
      </c>
      <c r="I740" s="6" t="s">
        <v>859</v>
      </c>
      <c r="J740" s="14">
        <v>0</v>
      </c>
      <c r="L740" s="6" t="s">
        <v>865</v>
      </c>
      <c r="M740" s="6" t="s">
        <v>868</v>
      </c>
      <c r="O740" s="338" t="s">
        <v>873</v>
      </c>
      <c r="P740" s="339"/>
      <c r="Q740" s="340"/>
      <c r="T740" s="15">
        <f>'[4]วัสดุ+ค่าขนส่ง'!J4</f>
        <v>22.17</v>
      </c>
    </row>
    <row r="741" spans="1:20">
      <c r="D741" s="6" t="s">
        <v>1312</v>
      </c>
      <c r="H741" s="8"/>
      <c r="I741" s="8" t="s">
        <v>859</v>
      </c>
      <c r="J741" s="22">
        <f>+J739+J740</f>
        <v>932.02</v>
      </c>
      <c r="K741" s="45"/>
      <c r="L741" s="6" t="s">
        <v>1033</v>
      </c>
    </row>
    <row r="742" spans="1:20">
      <c r="C742" s="6" t="s">
        <v>933</v>
      </c>
      <c r="E742" s="22">
        <f>+J741</f>
        <v>932.02</v>
      </c>
      <c r="F742" s="6" t="s">
        <v>1313</v>
      </c>
      <c r="H742" s="8"/>
      <c r="I742" s="8" t="s">
        <v>859</v>
      </c>
      <c r="J742" s="8"/>
      <c r="K742" s="22">
        <f>+E742*1.4</f>
        <v>1304.828</v>
      </c>
      <c r="L742" s="6" t="s">
        <v>1314</v>
      </c>
    </row>
    <row r="743" spans="1:20">
      <c r="C743" s="6" t="s">
        <v>935</v>
      </c>
      <c r="I743" s="8" t="s">
        <v>859</v>
      </c>
      <c r="K743" s="22">
        <f>+[4]อัตราราคางานดิน!$G$29</f>
        <v>43.02</v>
      </c>
      <c r="L743" s="6" t="s">
        <v>1314</v>
      </c>
    </row>
    <row r="744" spans="1:20">
      <c r="D744" s="6" t="s">
        <v>1315</v>
      </c>
      <c r="I744" s="8" t="s">
        <v>859</v>
      </c>
      <c r="K744" s="18">
        <f>+ROUNDDOWN(K742+K743,2)</f>
        <v>1347.84</v>
      </c>
      <c r="L744" s="6" t="s">
        <v>1314</v>
      </c>
    </row>
    <row r="745" spans="1:20">
      <c r="A745" s="8"/>
      <c r="B745" s="6">
        <v>32.1</v>
      </c>
      <c r="C745" s="6" t="s">
        <v>1316</v>
      </c>
    </row>
    <row r="746" spans="1:20">
      <c r="C746" s="6" t="s">
        <v>950</v>
      </c>
      <c r="D746" s="7"/>
      <c r="E746" s="8"/>
      <c r="F746" s="8"/>
      <c r="G746" s="8"/>
      <c r="H746" s="8"/>
      <c r="I746" s="8" t="s">
        <v>859</v>
      </c>
      <c r="J746" s="22">
        <f>'[4]วัสดุ+ค่าขนส่ง'!I70</f>
        <v>562.49</v>
      </c>
      <c r="K746" s="45"/>
      <c r="L746" s="6" t="s">
        <v>1033</v>
      </c>
    </row>
    <row r="747" spans="1:20">
      <c r="C747" s="6" t="s">
        <v>870</v>
      </c>
      <c r="D747" s="13">
        <v>0</v>
      </c>
      <c r="E747" s="6" t="s">
        <v>871</v>
      </c>
      <c r="I747" s="6" t="s">
        <v>859</v>
      </c>
      <c r="J747" s="14">
        <v>0</v>
      </c>
      <c r="L747" s="6" t="s">
        <v>865</v>
      </c>
      <c r="M747" s="6" t="s">
        <v>868</v>
      </c>
      <c r="O747" s="338" t="s">
        <v>873</v>
      </c>
      <c r="P747" s="339"/>
      <c r="Q747" s="340"/>
      <c r="T747" s="15">
        <f>'[4]วัสดุ+ค่าขนส่ง'!J4</f>
        <v>22.17</v>
      </c>
    </row>
    <row r="748" spans="1:20">
      <c r="D748" s="6" t="s">
        <v>1312</v>
      </c>
      <c r="H748" s="8"/>
      <c r="I748" s="8" t="s">
        <v>859</v>
      </c>
      <c r="J748" s="22">
        <f>+J746+J747</f>
        <v>562.49</v>
      </c>
      <c r="K748" s="45"/>
      <c r="L748" s="6" t="s">
        <v>1033</v>
      </c>
    </row>
    <row r="749" spans="1:20">
      <c r="C749" s="6" t="s">
        <v>933</v>
      </c>
      <c r="E749" s="22">
        <f>+J748</f>
        <v>562.49</v>
      </c>
      <c r="F749" s="6" t="s">
        <v>1313</v>
      </c>
      <c r="H749" s="8"/>
      <c r="I749" s="8" t="s">
        <v>859</v>
      </c>
      <c r="J749" s="8"/>
      <c r="K749" s="22">
        <f>+E749*1.4</f>
        <v>787.48599999999999</v>
      </c>
      <c r="L749" s="6" t="s">
        <v>1314</v>
      </c>
    </row>
    <row r="750" spans="1:20">
      <c r="C750" s="6" t="s">
        <v>935</v>
      </c>
      <c r="I750" s="8" t="s">
        <v>859</v>
      </c>
      <c r="K750" s="22">
        <f>+[4]อัตราราคางานดิน!$G$29</f>
        <v>43.02</v>
      </c>
      <c r="L750" s="6" t="s">
        <v>1314</v>
      </c>
    </row>
    <row r="751" spans="1:20">
      <c r="D751" s="6" t="s">
        <v>1315</v>
      </c>
      <c r="I751" s="8" t="s">
        <v>859</v>
      </c>
      <c r="K751" s="18">
        <f>+ROUNDDOWN(K749+K750,2)</f>
        <v>830.5</v>
      </c>
      <c r="L751" s="6" t="s">
        <v>1314</v>
      </c>
    </row>
    <row r="752" spans="1:20">
      <c r="A752" s="8"/>
      <c r="B752" s="6">
        <v>32.200000000000003</v>
      </c>
      <c r="C752" s="6" t="s">
        <v>1317</v>
      </c>
    </row>
    <row r="753" spans="1:20">
      <c r="C753" s="6" t="s">
        <v>950</v>
      </c>
      <c r="D753" s="7"/>
      <c r="E753" s="8"/>
      <c r="F753" s="8"/>
      <c r="G753" s="8"/>
      <c r="H753" s="8"/>
      <c r="I753" s="8" t="s">
        <v>859</v>
      </c>
      <c r="J753" s="22">
        <f>J746</f>
        <v>562.49</v>
      </c>
      <c r="K753" s="45"/>
      <c r="L753" s="6" t="s">
        <v>1033</v>
      </c>
    </row>
    <row r="754" spans="1:20">
      <c r="C754" s="6" t="s">
        <v>870</v>
      </c>
      <c r="D754" s="13">
        <v>0</v>
      </c>
      <c r="E754" s="6" t="s">
        <v>871</v>
      </c>
      <c r="I754" s="6" t="s">
        <v>859</v>
      </c>
      <c r="J754" s="14">
        <v>0</v>
      </c>
      <c r="L754" s="6" t="s">
        <v>865</v>
      </c>
      <c r="M754" s="6" t="s">
        <v>868</v>
      </c>
      <c r="O754" s="338" t="s">
        <v>873</v>
      </c>
      <c r="P754" s="339"/>
      <c r="Q754" s="340"/>
      <c r="T754" s="15" t="e">
        <f>'[4]วัสดุ+ค่าขนส่ง'!J12</f>
        <v>#REF!</v>
      </c>
    </row>
    <row r="755" spans="1:20">
      <c r="D755" s="6" t="s">
        <v>1312</v>
      </c>
      <c r="H755" s="8"/>
      <c r="I755" s="8" t="s">
        <v>859</v>
      </c>
      <c r="J755" s="22">
        <f>+J753+J754</f>
        <v>562.49</v>
      </c>
      <c r="K755" s="45"/>
      <c r="L755" s="6" t="s">
        <v>1033</v>
      </c>
    </row>
    <row r="756" spans="1:20">
      <c r="C756" s="6" t="s">
        <v>933</v>
      </c>
      <c r="E756" s="22">
        <f>+J755</f>
        <v>562.49</v>
      </c>
      <c r="F756" s="6" t="s">
        <v>1318</v>
      </c>
      <c r="H756" s="8"/>
      <c r="I756" s="8" t="s">
        <v>859</v>
      </c>
      <c r="J756" s="8"/>
      <c r="K756" s="22">
        <f>+E756*1.15</f>
        <v>646.86349999999993</v>
      </c>
      <c r="L756" s="6" t="s">
        <v>1314</v>
      </c>
    </row>
    <row r="757" spans="1:20">
      <c r="C757" s="6" t="s">
        <v>935</v>
      </c>
      <c r="I757" s="8" t="s">
        <v>859</v>
      </c>
      <c r="K757" s="22">
        <f>+[4]อัตราราคางานดิน!$G$29</f>
        <v>43.02</v>
      </c>
      <c r="L757" s="6" t="s">
        <v>1314</v>
      </c>
    </row>
    <row r="758" spans="1:20">
      <c r="D758" s="6" t="s">
        <v>1315</v>
      </c>
      <c r="I758" s="8" t="s">
        <v>859</v>
      </c>
      <c r="K758" s="18">
        <f>+ROUNDDOWN(K756+K757,2)</f>
        <v>689.88</v>
      </c>
      <c r="L758" s="6" t="s">
        <v>1314</v>
      </c>
    </row>
    <row r="759" spans="1:20">
      <c r="A759" s="8"/>
      <c r="B759" s="6">
        <v>32.299999999999997</v>
      </c>
      <c r="C759" s="6" t="s">
        <v>1319</v>
      </c>
    </row>
    <row r="760" spans="1:20">
      <c r="C760" s="6" t="s">
        <v>950</v>
      </c>
      <c r="D760" s="7"/>
      <c r="E760" s="8"/>
      <c r="F760" s="8"/>
      <c r="G760" s="8"/>
      <c r="H760" s="8"/>
      <c r="I760" s="8" t="s">
        <v>859</v>
      </c>
      <c r="J760" s="22">
        <f>'[4]วัสดุ+ค่าขนส่ง'!I75</f>
        <v>932.02</v>
      </c>
      <c r="K760" s="45"/>
      <c r="L760" s="6" t="s">
        <v>1033</v>
      </c>
    </row>
    <row r="761" spans="1:20">
      <c r="C761" s="6" t="s">
        <v>870</v>
      </c>
      <c r="D761" s="13">
        <v>0</v>
      </c>
      <c r="E761" s="6" t="s">
        <v>871</v>
      </c>
      <c r="I761" s="6" t="s">
        <v>859</v>
      </c>
      <c r="J761" s="14">
        <v>0</v>
      </c>
      <c r="L761" s="6" t="s">
        <v>865</v>
      </c>
      <c r="M761" s="6" t="s">
        <v>868</v>
      </c>
      <c r="O761" s="338" t="s">
        <v>873</v>
      </c>
      <c r="P761" s="339"/>
      <c r="Q761" s="340"/>
      <c r="T761" s="15" t="e">
        <f>'[4]วัสดุ+ค่าขนส่ง'!J17</f>
        <v>#REF!</v>
      </c>
    </row>
    <row r="762" spans="1:20">
      <c r="D762" s="6" t="s">
        <v>1312</v>
      </c>
      <c r="H762" s="8"/>
      <c r="I762" s="8" t="s">
        <v>859</v>
      </c>
      <c r="J762" s="22">
        <f>+J760+J761</f>
        <v>932.02</v>
      </c>
      <c r="K762" s="45"/>
      <c r="L762" s="6" t="s">
        <v>1033</v>
      </c>
    </row>
    <row r="763" spans="1:20">
      <c r="C763" s="6" t="s">
        <v>933</v>
      </c>
      <c r="E763" s="22">
        <f>+J762</f>
        <v>932.02</v>
      </c>
      <c r="F763" s="6" t="s">
        <v>1313</v>
      </c>
      <c r="H763" s="8"/>
      <c r="I763" s="8" t="s">
        <v>859</v>
      </c>
      <c r="J763" s="8"/>
      <c r="K763" s="22">
        <f>+E763*1.4</f>
        <v>1304.828</v>
      </c>
      <c r="L763" s="6" t="s">
        <v>1314</v>
      </c>
    </row>
    <row r="764" spans="1:20">
      <c r="C764" s="6" t="s">
        <v>935</v>
      </c>
      <c r="I764" s="8" t="s">
        <v>859</v>
      </c>
      <c r="K764" s="22">
        <f>+[4]อัตราราคางานดิน!$G$29</f>
        <v>43.02</v>
      </c>
      <c r="L764" s="6" t="s">
        <v>1314</v>
      </c>
    </row>
    <row r="765" spans="1:20">
      <c r="D765" s="6" t="s">
        <v>1315</v>
      </c>
      <c r="I765" s="8" t="s">
        <v>859</v>
      </c>
      <c r="K765" s="18">
        <f>+ROUNDDOWN(K763+K764,2)</f>
        <v>1347.84</v>
      </c>
      <c r="L765" s="6" t="s">
        <v>1314</v>
      </c>
    </row>
    <row r="766" spans="1:20">
      <c r="B766" s="8" t="s">
        <v>884</v>
      </c>
      <c r="C766" s="6" t="s">
        <v>1320</v>
      </c>
    </row>
    <row r="767" spans="1:20">
      <c r="C767" s="6" t="s">
        <v>1321</v>
      </c>
    </row>
    <row r="768" spans="1:20">
      <c r="A768" s="8">
        <v>33</v>
      </c>
      <c r="B768" s="8" t="s">
        <v>1322</v>
      </c>
    </row>
    <row r="769" spans="1:14">
      <c r="C769" s="6" t="s">
        <v>1323</v>
      </c>
      <c r="I769" s="8" t="s">
        <v>859</v>
      </c>
      <c r="K769" s="36">
        <v>1</v>
      </c>
      <c r="L769" s="6" t="s">
        <v>964</v>
      </c>
    </row>
    <row r="770" spans="1:14">
      <c r="C770" s="6" t="s">
        <v>1130</v>
      </c>
      <c r="D770" s="6" t="s">
        <v>859</v>
      </c>
      <c r="E770" s="36">
        <v>1</v>
      </c>
      <c r="F770" s="6" t="s">
        <v>1264</v>
      </c>
      <c r="I770" s="8" t="s">
        <v>859</v>
      </c>
      <c r="K770" s="36">
        <v>2</v>
      </c>
      <c r="L770" s="6" t="s">
        <v>964</v>
      </c>
    </row>
    <row r="771" spans="1:14">
      <c r="D771" s="6" t="s">
        <v>1132</v>
      </c>
      <c r="I771" s="8" t="s">
        <v>859</v>
      </c>
      <c r="K771" s="103"/>
      <c r="L771" s="6" t="s">
        <v>964</v>
      </c>
    </row>
    <row r="772" spans="1:14">
      <c r="B772" s="8" t="s">
        <v>884</v>
      </c>
      <c r="C772" s="6" t="s">
        <v>1324</v>
      </c>
    </row>
    <row r="773" spans="1:14">
      <c r="C773" s="6" t="s">
        <v>1122</v>
      </c>
    </row>
    <row r="774" spans="1:14">
      <c r="C774" s="6" t="s">
        <v>1325</v>
      </c>
    </row>
    <row r="775" spans="1:14">
      <c r="A775" s="8">
        <v>34</v>
      </c>
      <c r="B775" s="8" t="s">
        <v>1326</v>
      </c>
    </row>
    <row r="776" spans="1:14">
      <c r="C776" s="6" t="s">
        <v>1327</v>
      </c>
      <c r="I776" s="8" t="s">
        <v>859</v>
      </c>
      <c r="K776" s="103"/>
      <c r="L776" s="6" t="s">
        <v>1328</v>
      </c>
    </row>
    <row r="777" spans="1:14">
      <c r="D777" s="6" t="s">
        <v>861</v>
      </c>
      <c r="I777" s="8" t="s">
        <v>859</v>
      </c>
      <c r="K777" s="103"/>
      <c r="L777" s="6" t="s">
        <v>1328</v>
      </c>
    </row>
    <row r="778" spans="1:14">
      <c r="B778" s="8" t="s">
        <v>884</v>
      </c>
      <c r="C778" s="6" t="s">
        <v>1329</v>
      </c>
    </row>
    <row r="779" spans="1:14">
      <c r="A779" s="8">
        <v>40</v>
      </c>
      <c r="B779" s="8" t="s">
        <v>1330</v>
      </c>
    </row>
    <row r="780" spans="1:14">
      <c r="B780" s="6" t="s">
        <v>1331</v>
      </c>
    </row>
    <row r="781" spans="1:14">
      <c r="C781" s="6" t="s">
        <v>1332</v>
      </c>
      <c r="I781" s="8" t="s">
        <v>859</v>
      </c>
      <c r="K781" s="22">
        <f>'[4]วัสดุ+ค่าขนส่ง'!K29</f>
        <v>22.939809553579479</v>
      </c>
      <c r="L781" s="6" t="s">
        <v>977</v>
      </c>
      <c r="N781" s="36">
        <v>1</v>
      </c>
    </row>
    <row r="782" spans="1:14">
      <c r="C782" s="6" t="s">
        <v>1130</v>
      </c>
      <c r="D782" s="6" t="s">
        <v>859</v>
      </c>
      <c r="E782" s="22">
        <f>+K781</f>
        <v>22.939809553579479</v>
      </c>
      <c r="F782" s="6" t="s">
        <v>1264</v>
      </c>
      <c r="I782" s="8" t="s">
        <v>859</v>
      </c>
      <c r="K782" s="22">
        <f>+E782*0.3</f>
        <v>6.8819428660738433</v>
      </c>
      <c r="L782" s="6" t="s">
        <v>977</v>
      </c>
      <c r="N782" s="36">
        <v>2</v>
      </c>
    </row>
    <row r="783" spans="1:14">
      <c r="D783" s="6" t="s">
        <v>1132</v>
      </c>
      <c r="I783" s="8" t="s">
        <v>859</v>
      </c>
      <c r="K783" s="18">
        <f>+ROUNDDOWN(K781+K782,2)</f>
        <v>29.82</v>
      </c>
      <c r="L783" s="6" t="s">
        <v>977</v>
      </c>
    </row>
    <row r="784" spans="1:14">
      <c r="B784" s="8" t="s">
        <v>884</v>
      </c>
      <c r="C784" s="6" t="s">
        <v>1333</v>
      </c>
    </row>
    <row r="785" spans="3:3">
      <c r="C785" s="6" t="s">
        <v>1122</v>
      </c>
    </row>
    <row r="786" spans="3:3">
      <c r="C786" s="6" t="s">
        <v>1334</v>
      </c>
    </row>
  </sheetData>
  <mergeCells count="35">
    <mergeCell ref="AC384:AF384"/>
    <mergeCell ref="O740:Q740"/>
    <mergeCell ref="O747:Q747"/>
    <mergeCell ref="O754:Q754"/>
    <mergeCell ref="O761:Q761"/>
    <mergeCell ref="O344:Q344"/>
    <mergeCell ref="O144:Q144"/>
    <mergeCell ref="O157:Q157"/>
    <mergeCell ref="J163:K163"/>
    <mergeCell ref="J166:K166"/>
    <mergeCell ref="O169:Q169"/>
    <mergeCell ref="O182:Q182"/>
    <mergeCell ref="J188:K188"/>
    <mergeCell ref="J191:K191"/>
    <mergeCell ref="O194:Q194"/>
    <mergeCell ref="J207:K207"/>
    <mergeCell ref="O213:Q213"/>
    <mergeCell ref="J141:K141"/>
    <mergeCell ref="O58:Q58"/>
    <mergeCell ref="O65:Q65"/>
    <mergeCell ref="O72:Q72"/>
    <mergeCell ref="O79:Q79"/>
    <mergeCell ref="O86:Q86"/>
    <mergeCell ref="O105:Q105"/>
    <mergeCell ref="J111:K111"/>
    <mergeCell ref="J114:K114"/>
    <mergeCell ref="O119:Q119"/>
    <mergeCell ref="O132:Q132"/>
    <mergeCell ref="J138:K138"/>
    <mergeCell ref="O51:Q51"/>
    <mergeCell ref="A2:M2"/>
    <mergeCell ref="A3:M3"/>
    <mergeCell ref="O16:Q16"/>
    <mergeCell ref="O27:Q27"/>
    <mergeCell ref="O33:Q33"/>
  </mergeCells>
  <hyperlinks>
    <hyperlink ref="P702" r:id="rId1"/>
    <hyperlink ref="L576" r:id="rId2" display="https://www.onestockhome.com/th/products/24005407/elastic-filler_office-equipments?srsltid=AfmBOoq3dvIJ7sXLXKIlZzLDKJPE8dOjnU9jcblZH4MMZurYV8OUmzeS"/>
  </hyperlinks>
  <pageMargins left="0.7" right="0.7" top="0.75" bottom="0.75" header="0.3" footer="0.3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7"/>
  <sheetViews>
    <sheetView zoomScale="85" zoomScaleNormal="85" workbookViewId="0">
      <selection activeCell="D13" sqref="D13"/>
    </sheetView>
  </sheetViews>
  <sheetFormatPr defaultColWidth="9" defaultRowHeight="20.100000000000001" customHeight="1"/>
  <cols>
    <col min="1" max="1" width="9.5703125" style="111" customWidth="1"/>
    <col min="2" max="2" width="20.5703125" style="111" customWidth="1"/>
    <col min="3" max="3" width="30.5703125" style="111" customWidth="1"/>
    <col min="4" max="4" width="20.5703125" style="111" customWidth="1"/>
    <col min="5" max="5" width="9.5703125" style="111" customWidth="1"/>
    <col min="6" max="18" width="9" style="111"/>
    <col min="19" max="19" width="9.85546875" style="111" bestFit="1" customWidth="1"/>
    <col min="20" max="16384" width="9" style="111"/>
  </cols>
  <sheetData>
    <row r="1" spans="1:4" ht="20.100000000000001" customHeight="1" thickTop="1" thickBot="1">
      <c r="A1" s="110"/>
      <c r="B1" s="346" t="s">
        <v>1358</v>
      </c>
      <c r="C1" s="347"/>
      <c r="D1" s="348"/>
    </row>
    <row r="2" spans="1:4" ht="20.100000000000001" customHeight="1" thickTop="1">
      <c r="A2" s="110"/>
      <c r="B2" s="112"/>
      <c r="C2" s="112"/>
      <c r="D2" s="112"/>
    </row>
    <row r="3" spans="1:4" ht="20.100000000000001" customHeight="1">
      <c r="A3" s="110"/>
      <c r="B3" s="113" t="s">
        <v>1359</v>
      </c>
      <c r="C3" s="114" t="s">
        <v>1360</v>
      </c>
      <c r="D3" s="115">
        <v>0.15</v>
      </c>
    </row>
    <row r="4" spans="1:4" ht="20.100000000000001" customHeight="1">
      <c r="A4" s="110"/>
      <c r="B4" s="116"/>
      <c r="C4" s="114" t="s">
        <v>1361</v>
      </c>
      <c r="D4" s="115">
        <v>0.1</v>
      </c>
    </row>
    <row r="5" spans="1:4" ht="20.100000000000001" customHeight="1">
      <c r="A5" s="110"/>
      <c r="B5" s="116"/>
      <c r="C5" s="114" t="s">
        <v>1362</v>
      </c>
      <c r="D5" s="115">
        <v>7.0000000000000007E-2</v>
      </c>
    </row>
    <row r="6" spans="1:4" ht="20.100000000000001" customHeight="1">
      <c r="A6" s="110"/>
      <c r="B6" s="117"/>
      <c r="C6" s="114" t="s">
        <v>1363</v>
      </c>
      <c r="D6" s="115">
        <v>7.0000000000000007E-2</v>
      </c>
    </row>
    <row r="7" spans="1:4" ht="20.100000000000001" customHeight="1" thickBot="1">
      <c r="A7" s="110"/>
      <c r="B7" s="117"/>
      <c r="C7" s="117"/>
      <c r="D7" s="117"/>
    </row>
    <row r="8" spans="1:4" ht="20.100000000000001" customHeight="1" thickTop="1" thickBot="1">
      <c r="A8" s="118"/>
      <c r="B8" s="346" t="s">
        <v>1358</v>
      </c>
      <c r="C8" s="347"/>
      <c r="D8" s="348"/>
    </row>
    <row r="9" spans="1:4" ht="20.100000000000001" customHeight="1" thickTop="1">
      <c r="A9" s="118"/>
      <c r="B9" s="112"/>
      <c r="C9" s="112"/>
      <c r="D9" s="112"/>
    </row>
    <row r="10" spans="1:4" ht="20.100000000000001" customHeight="1">
      <c r="A10" s="118"/>
      <c r="B10" s="349" t="s">
        <v>1364</v>
      </c>
      <c r="C10" s="349"/>
      <c r="D10" s="349"/>
    </row>
    <row r="11" spans="1:4" ht="20.100000000000001" customHeight="1">
      <c r="A11" s="118"/>
      <c r="B11" s="119" t="s">
        <v>1365</v>
      </c>
      <c r="C11" s="119" t="s">
        <v>1366</v>
      </c>
      <c r="D11" s="119" t="s">
        <v>1367</v>
      </c>
    </row>
    <row r="12" spans="1:4" ht="20.100000000000001" customHeight="1">
      <c r="A12" s="118"/>
      <c r="B12" s="120" t="s">
        <v>1368</v>
      </c>
      <c r="C12" s="121" t="s">
        <v>1369</v>
      </c>
      <c r="D12" s="122">
        <f>สรุป!F68</f>
        <v>4366921.2381742075</v>
      </c>
    </row>
    <row r="13" spans="1:4" ht="20.100000000000001" customHeight="1">
      <c r="A13" s="118"/>
      <c r="B13" s="120" t="s">
        <v>1370</v>
      </c>
      <c r="C13" s="121" t="s">
        <v>1371</v>
      </c>
      <c r="D13" s="122">
        <v>3000000</v>
      </c>
    </row>
    <row r="14" spans="1:4" ht="20.100000000000001" customHeight="1">
      <c r="A14" s="118"/>
      <c r="B14" s="120" t="s">
        <v>1372</v>
      </c>
      <c r="C14" s="121" t="s">
        <v>1373</v>
      </c>
      <c r="D14" s="122">
        <v>5000000</v>
      </c>
    </row>
    <row r="15" spans="1:4" ht="20.100000000000001" customHeight="1">
      <c r="A15" s="118"/>
      <c r="B15" s="120" t="s">
        <v>1374</v>
      </c>
      <c r="C15" s="121" t="s">
        <v>1375</v>
      </c>
      <c r="D15" s="123">
        <v>1.3366</v>
      </c>
    </row>
    <row r="16" spans="1:4" ht="20.100000000000001" customHeight="1">
      <c r="A16" s="118"/>
      <c r="B16" s="120" t="s">
        <v>1376</v>
      </c>
      <c r="C16" s="121" t="s">
        <v>1377</v>
      </c>
      <c r="D16" s="123">
        <v>1.3366</v>
      </c>
    </row>
    <row r="17" spans="1:4" ht="20.100000000000001" customHeight="1">
      <c r="A17" s="118"/>
      <c r="B17" s="350" t="s">
        <v>1378</v>
      </c>
      <c r="C17" s="350"/>
      <c r="D17" s="124">
        <f>+ROUNDDOWN(D15-((D15-D16)*(D12-D13)/(D14-D13)),4)</f>
        <v>1.3366</v>
      </c>
    </row>
  </sheetData>
  <mergeCells count="4">
    <mergeCell ref="B1:D1"/>
    <mergeCell ref="B8:D8"/>
    <mergeCell ref="B10:D10"/>
    <mergeCell ref="B17:C17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BOQ</vt:lpstr>
      <vt:lpstr>สรุป</vt:lpstr>
      <vt:lpstr>ปร.4(พ)</vt:lpstr>
      <vt:lpstr>เหตุผลฯ</vt:lpstr>
      <vt:lpstr>ราคาต่อหน่วยในงานนี้</vt:lpstr>
      <vt:lpstr>ราคาระยอง 11-68</vt:lpstr>
      <vt:lpstr>ราคาต่อหน่วยชลประทาน</vt:lpstr>
      <vt:lpstr>Factor-F </vt:lpstr>
      <vt:lpstr>BOQ!Print_Area</vt:lpstr>
      <vt:lpstr>'ปร.4(พ)'!Print_Area</vt:lpstr>
      <vt:lpstr>สรุป!Print_Area</vt:lpstr>
      <vt:lpstr>'ปร.4(พ)'!Print_Titles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Hathaipat Thongsaard</cp:lastModifiedBy>
  <cp:lastPrinted>2025-12-22T01:46:43Z</cp:lastPrinted>
  <dcterms:created xsi:type="dcterms:W3CDTF">2025-12-11T03:38:33Z</dcterms:created>
  <dcterms:modified xsi:type="dcterms:W3CDTF">2026-01-06T03:45:07Z</dcterms:modified>
</cp:coreProperties>
</file>